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.mironova\Downloads\"/>
    </mc:Choice>
  </mc:AlternateContent>
  <bookViews>
    <workbookView xWindow="0" yWindow="0" windowWidth="28800" windowHeight="11700"/>
  </bookViews>
  <sheets>
    <sheet name="Смета СН-2012 по гл. 1-5" sheetId="1" r:id="rId1"/>
  </sheets>
  <externalReferences>
    <externalReference r:id="rId2"/>
  </externalReferences>
  <definedNames>
    <definedName name="_xlnm._FilterDatabase" localSheetId="0" hidden="1">'Смета СН-2012 по гл. 1-5'!$A$30:$Z$4873</definedName>
    <definedName name="_xlnm.Print_Titles" localSheetId="0">'Смета СН-2012 по гл. 1-5'!$30:$30</definedName>
    <definedName name="_xlnm.Print_Area" localSheetId="0">'Смета СН-2012 по гл. 1-5'!$A$1:$Q$4874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881" i="1" l="1"/>
  <c r="C4881" i="1"/>
  <c r="H4878" i="1"/>
  <c r="C4878" i="1"/>
  <c r="J4874" i="1"/>
  <c r="I4873" i="1"/>
  <c r="C4873" i="1"/>
  <c r="I4872" i="1"/>
  <c r="C4872" i="1"/>
  <c r="AQ4871" i="1"/>
  <c r="A4871" i="1"/>
  <c r="A4868" i="1"/>
  <c r="M4867" i="1"/>
  <c r="M4866" i="1"/>
  <c r="A4865" i="1"/>
  <c r="M4864" i="1"/>
  <c r="M4863" i="1"/>
  <c r="A4862" i="1"/>
  <c r="M4861" i="1"/>
  <c r="K4859" i="1"/>
  <c r="H4859" i="1"/>
  <c r="G4859" i="1"/>
  <c r="E4859" i="1"/>
  <c r="E4858" i="1"/>
  <c r="J4857" i="1"/>
  <c r="E4857" i="1"/>
  <c r="AG4856" i="1"/>
  <c r="AF4856" i="1"/>
  <c r="AE4856" i="1"/>
  <c r="AD4856" i="1"/>
  <c r="AC4856" i="1"/>
  <c r="AB4856" i="1"/>
  <c r="J4856" i="1"/>
  <c r="I4856" i="1"/>
  <c r="H4856" i="1"/>
  <c r="F4856" i="1"/>
  <c r="E4856" i="1"/>
  <c r="D4856" i="1"/>
  <c r="C4856" i="1"/>
  <c r="B4856" i="1"/>
  <c r="J4855" i="1"/>
  <c r="I4855" i="1"/>
  <c r="H4855" i="1"/>
  <c r="G4855" i="1"/>
  <c r="F4855" i="1"/>
  <c r="J4854" i="1"/>
  <c r="I4854" i="1"/>
  <c r="H4854" i="1"/>
  <c r="G4854" i="1"/>
  <c r="F4854" i="1"/>
  <c r="C4853" i="1"/>
  <c r="AG4852" i="1"/>
  <c r="AF4852" i="1"/>
  <c r="AE4852" i="1"/>
  <c r="J4858" i="1" s="1"/>
  <c r="AD4852" i="1"/>
  <c r="AC4852" i="1"/>
  <c r="AB4852" i="1"/>
  <c r="E4852" i="1"/>
  <c r="D4852" i="1"/>
  <c r="C4852" i="1"/>
  <c r="B4852" i="1"/>
  <c r="K4850" i="1"/>
  <c r="H4850" i="1"/>
  <c r="G4850" i="1"/>
  <c r="E4850" i="1"/>
  <c r="E4849" i="1"/>
  <c r="E4848" i="1"/>
  <c r="J4847" i="1"/>
  <c r="I4847" i="1"/>
  <c r="H4847" i="1"/>
  <c r="G4847" i="1"/>
  <c r="F4847" i="1"/>
  <c r="C4846" i="1"/>
  <c r="AG4845" i="1"/>
  <c r="AF4845" i="1"/>
  <c r="AE4845" i="1"/>
  <c r="J4849" i="1" s="1"/>
  <c r="AD4845" i="1"/>
  <c r="AC4845" i="1"/>
  <c r="J4848" i="1" s="1"/>
  <c r="AB4845" i="1"/>
  <c r="E4845" i="1"/>
  <c r="D4845" i="1"/>
  <c r="C4845" i="1"/>
  <c r="B4845" i="1"/>
  <c r="K4843" i="1"/>
  <c r="H4843" i="1"/>
  <c r="G4843" i="1"/>
  <c r="E4843" i="1"/>
  <c r="E4842" i="1"/>
  <c r="E4841" i="1"/>
  <c r="J4840" i="1"/>
  <c r="I4840" i="1"/>
  <c r="H4840" i="1"/>
  <c r="G4840" i="1"/>
  <c r="F4840" i="1"/>
  <c r="C4839" i="1"/>
  <c r="AG4838" i="1"/>
  <c r="AF4838" i="1"/>
  <c r="AE4838" i="1"/>
  <c r="J4842" i="1" s="1"/>
  <c r="AD4838" i="1"/>
  <c r="AC4838" i="1"/>
  <c r="J4841" i="1" s="1"/>
  <c r="I4844" i="1" s="1"/>
  <c r="AB4838" i="1"/>
  <c r="E4838" i="1"/>
  <c r="D4838" i="1"/>
  <c r="C4838" i="1"/>
  <c r="B4838" i="1"/>
  <c r="A4837" i="1"/>
  <c r="A4834" i="1"/>
  <c r="K4831" i="1"/>
  <c r="H4831" i="1"/>
  <c r="G4831" i="1"/>
  <c r="E4831" i="1"/>
  <c r="J4830" i="1"/>
  <c r="E4830" i="1"/>
  <c r="E4829" i="1"/>
  <c r="J4828" i="1"/>
  <c r="I4828" i="1"/>
  <c r="H4828" i="1"/>
  <c r="G4828" i="1"/>
  <c r="F4828" i="1"/>
  <c r="C4827" i="1"/>
  <c r="AG4826" i="1"/>
  <c r="AF4826" i="1"/>
  <c r="AE4826" i="1"/>
  <c r="AD4826" i="1"/>
  <c r="AC4826" i="1"/>
  <c r="J4829" i="1" s="1"/>
  <c r="AB4826" i="1"/>
  <c r="E4826" i="1"/>
  <c r="D4826" i="1"/>
  <c r="C4826" i="1"/>
  <c r="B4826" i="1"/>
  <c r="A4825" i="1"/>
  <c r="A4822" i="1"/>
  <c r="K4819" i="1"/>
  <c r="H4819" i="1"/>
  <c r="G4819" i="1"/>
  <c r="E4819" i="1"/>
  <c r="J4818" i="1"/>
  <c r="E4818" i="1"/>
  <c r="E4817" i="1"/>
  <c r="AG4816" i="1"/>
  <c r="AF4816" i="1"/>
  <c r="AE4816" i="1"/>
  <c r="AD4816" i="1"/>
  <c r="AC4816" i="1"/>
  <c r="AB4816" i="1"/>
  <c r="J4816" i="1"/>
  <c r="I4816" i="1"/>
  <c r="H4816" i="1"/>
  <c r="F4816" i="1"/>
  <c r="E4816" i="1"/>
  <c r="D4816" i="1"/>
  <c r="C4816" i="1"/>
  <c r="B4816" i="1"/>
  <c r="J4815" i="1"/>
  <c r="I4815" i="1"/>
  <c r="H4815" i="1"/>
  <c r="G4815" i="1"/>
  <c r="F4815" i="1"/>
  <c r="J4814" i="1"/>
  <c r="I4814" i="1"/>
  <c r="H4814" i="1"/>
  <c r="G4814" i="1"/>
  <c r="F4814" i="1"/>
  <c r="C4813" i="1"/>
  <c r="AG4812" i="1"/>
  <c r="AF4812" i="1"/>
  <c r="AE4812" i="1"/>
  <c r="AD4812" i="1"/>
  <c r="AC4812" i="1"/>
  <c r="J4817" i="1" s="1"/>
  <c r="AB4812" i="1"/>
  <c r="E4812" i="1"/>
  <c r="D4812" i="1"/>
  <c r="C4812" i="1"/>
  <c r="B4812" i="1"/>
  <c r="K4810" i="1"/>
  <c r="H4810" i="1"/>
  <c r="G4810" i="1"/>
  <c r="E4810" i="1"/>
  <c r="E4809" i="1"/>
  <c r="E4808" i="1"/>
  <c r="J4807" i="1"/>
  <c r="I4807" i="1"/>
  <c r="H4807" i="1"/>
  <c r="G4807" i="1"/>
  <c r="F4807" i="1"/>
  <c r="C4806" i="1"/>
  <c r="AG4805" i="1"/>
  <c r="AF4805" i="1"/>
  <c r="AE4805" i="1"/>
  <c r="J4809" i="1" s="1"/>
  <c r="I4811" i="1" s="1"/>
  <c r="AD4805" i="1"/>
  <c r="AC4805" i="1"/>
  <c r="J4808" i="1" s="1"/>
  <c r="AB4805" i="1"/>
  <c r="E4805" i="1"/>
  <c r="D4805" i="1"/>
  <c r="C4805" i="1"/>
  <c r="B4805" i="1"/>
  <c r="K4803" i="1"/>
  <c r="H4803" i="1"/>
  <c r="G4803" i="1"/>
  <c r="E4803" i="1"/>
  <c r="J4802" i="1"/>
  <c r="E4802" i="1"/>
  <c r="E4801" i="1"/>
  <c r="J4800" i="1"/>
  <c r="I4800" i="1"/>
  <c r="H4800" i="1"/>
  <c r="G4800" i="1"/>
  <c r="F4800" i="1"/>
  <c r="C4799" i="1"/>
  <c r="AG4798" i="1"/>
  <c r="AF4798" i="1"/>
  <c r="AE4798" i="1"/>
  <c r="AD4798" i="1"/>
  <c r="AC4798" i="1"/>
  <c r="J4801" i="1" s="1"/>
  <c r="AB4798" i="1"/>
  <c r="E4798" i="1"/>
  <c r="D4798" i="1"/>
  <c r="C4798" i="1"/>
  <c r="B4798" i="1"/>
  <c r="A4797" i="1"/>
  <c r="A4795" i="1"/>
  <c r="AQ4792" i="1"/>
  <c r="A4792" i="1"/>
  <c r="A4789" i="1"/>
  <c r="K4786" i="1"/>
  <c r="H4786" i="1"/>
  <c r="G4786" i="1"/>
  <c r="E4786" i="1"/>
  <c r="J4785" i="1"/>
  <c r="E4785" i="1"/>
  <c r="E4784" i="1"/>
  <c r="AG4783" i="1"/>
  <c r="AF4783" i="1"/>
  <c r="AE4783" i="1"/>
  <c r="AD4783" i="1"/>
  <c r="AC4783" i="1"/>
  <c r="AB4783" i="1"/>
  <c r="J4783" i="1"/>
  <c r="I4783" i="1"/>
  <c r="H4783" i="1"/>
  <c r="F4783" i="1"/>
  <c r="E4783" i="1"/>
  <c r="D4783" i="1"/>
  <c r="C4783" i="1"/>
  <c r="B4783" i="1"/>
  <c r="J4782" i="1"/>
  <c r="I4782" i="1"/>
  <c r="H4782" i="1"/>
  <c r="G4782" i="1"/>
  <c r="F4782" i="1"/>
  <c r="J4781" i="1"/>
  <c r="I4781" i="1"/>
  <c r="H4781" i="1"/>
  <c r="G4781" i="1"/>
  <c r="F4781" i="1"/>
  <c r="C4780" i="1"/>
  <c r="AG4779" i="1"/>
  <c r="AF4779" i="1"/>
  <c r="AE4779" i="1"/>
  <c r="AD4779" i="1"/>
  <c r="AC4779" i="1"/>
  <c r="J4784" i="1" s="1"/>
  <c r="AB4779" i="1"/>
  <c r="E4779" i="1"/>
  <c r="D4779" i="1"/>
  <c r="C4779" i="1"/>
  <c r="B4779" i="1"/>
  <c r="K4777" i="1"/>
  <c r="H4777" i="1"/>
  <c r="G4777" i="1"/>
  <c r="E4777" i="1"/>
  <c r="E4776" i="1"/>
  <c r="J4775" i="1"/>
  <c r="E4775" i="1"/>
  <c r="E4774" i="1"/>
  <c r="AG4773" i="1"/>
  <c r="AF4773" i="1"/>
  <c r="AE4773" i="1"/>
  <c r="AD4773" i="1"/>
  <c r="AC4773" i="1"/>
  <c r="AB4773" i="1"/>
  <c r="J4773" i="1"/>
  <c r="I4773" i="1"/>
  <c r="H4773" i="1"/>
  <c r="F4773" i="1"/>
  <c r="E4773" i="1"/>
  <c r="D4773" i="1"/>
  <c r="C4773" i="1"/>
  <c r="B4773" i="1"/>
  <c r="J4772" i="1"/>
  <c r="I4772" i="1"/>
  <c r="H4772" i="1"/>
  <c r="G4772" i="1"/>
  <c r="F4772" i="1"/>
  <c r="J4771" i="1"/>
  <c r="I4771" i="1"/>
  <c r="H4771" i="1"/>
  <c r="G4771" i="1"/>
  <c r="F4771" i="1"/>
  <c r="J4770" i="1"/>
  <c r="I4770" i="1"/>
  <c r="H4770" i="1"/>
  <c r="G4770" i="1"/>
  <c r="F4770" i="1"/>
  <c r="J4769" i="1"/>
  <c r="I4769" i="1"/>
  <c r="H4769" i="1"/>
  <c r="G4769" i="1"/>
  <c r="F4769" i="1"/>
  <c r="C4768" i="1"/>
  <c r="AG4767" i="1"/>
  <c r="AF4767" i="1"/>
  <c r="AE4767" i="1"/>
  <c r="AD4767" i="1"/>
  <c r="AC4767" i="1"/>
  <c r="AB4767" i="1"/>
  <c r="E4767" i="1"/>
  <c r="D4767" i="1"/>
  <c r="C4767" i="1"/>
  <c r="B4767" i="1"/>
  <c r="A4766" i="1"/>
  <c r="A4763" i="1"/>
  <c r="K4760" i="1"/>
  <c r="H4760" i="1"/>
  <c r="G4760" i="1"/>
  <c r="E4760" i="1"/>
  <c r="J4759" i="1"/>
  <c r="E4759" i="1"/>
  <c r="E4758" i="1"/>
  <c r="AG4757" i="1"/>
  <c r="AF4757" i="1"/>
  <c r="AE4757" i="1"/>
  <c r="AD4757" i="1"/>
  <c r="AC4757" i="1"/>
  <c r="AB4757" i="1"/>
  <c r="J4757" i="1"/>
  <c r="I4757" i="1"/>
  <c r="H4757" i="1"/>
  <c r="F4757" i="1"/>
  <c r="E4757" i="1"/>
  <c r="D4757" i="1"/>
  <c r="C4757" i="1"/>
  <c r="B4757" i="1"/>
  <c r="J4756" i="1"/>
  <c r="I4756" i="1"/>
  <c r="H4756" i="1"/>
  <c r="G4756" i="1"/>
  <c r="F4756" i="1"/>
  <c r="J4755" i="1"/>
  <c r="I4761" i="1" s="1"/>
  <c r="I4755" i="1"/>
  <c r="H4755" i="1"/>
  <c r="G4755" i="1"/>
  <c r="F4755" i="1"/>
  <c r="C4754" i="1"/>
  <c r="AG4753" i="1"/>
  <c r="AF4753" i="1"/>
  <c r="AE4753" i="1"/>
  <c r="AD4753" i="1"/>
  <c r="AC4753" i="1"/>
  <c r="J4758" i="1" s="1"/>
  <c r="AB4753" i="1"/>
  <c r="E4753" i="1"/>
  <c r="D4753" i="1"/>
  <c r="C4753" i="1"/>
  <c r="B4753" i="1"/>
  <c r="K4751" i="1"/>
  <c r="H4751" i="1"/>
  <c r="G4751" i="1"/>
  <c r="E4751" i="1"/>
  <c r="E4750" i="1"/>
  <c r="E4749" i="1"/>
  <c r="J4748" i="1"/>
  <c r="I4748" i="1"/>
  <c r="H4748" i="1"/>
  <c r="G4748" i="1"/>
  <c r="F4748" i="1"/>
  <c r="C4747" i="1"/>
  <c r="AG4746" i="1"/>
  <c r="AF4746" i="1"/>
  <c r="AE4746" i="1"/>
  <c r="J4750" i="1" s="1"/>
  <c r="AD4746" i="1"/>
  <c r="AC4746" i="1"/>
  <c r="J4749" i="1" s="1"/>
  <c r="I4752" i="1" s="1"/>
  <c r="AA4752" i="1" s="1"/>
  <c r="AB4746" i="1"/>
  <c r="E4746" i="1"/>
  <c r="D4746" i="1"/>
  <c r="C4746" i="1"/>
  <c r="B4746" i="1"/>
  <c r="A4745" i="1"/>
  <c r="A4742" i="1"/>
  <c r="K4739" i="1"/>
  <c r="H4739" i="1"/>
  <c r="G4739" i="1"/>
  <c r="E4739" i="1"/>
  <c r="E4738" i="1"/>
  <c r="E4737" i="1"/>
  <c r="AG4736" i="1"/>
  <c r="AF4736" i="1"/>
  <c r="AE4736" i="1"/>
  <c r="AD4736" i="1"/>
  <c r="AC4736" i="1"/>
  <c r="AB4736" i="1"/>
  <c r="J4736" i="1"/>
  <c r="I4736" i="1"/>
  <c r="H4736" i="1"/>
  <c r="F4736" i="1"/>
  <c r="E4736" i="1"/>
  <c r="D4736" i="1"/>
  <c r="C4736" i="1"/>
  <c r="B4736" i="1"/>
  <c r="J4735" i="1"/>
  <c r="I4735" i="1"/>
  <c r="H4735" i="1"/>
  <c r="G4735" i="1"/>
  <c r="F4735" i="1"/>
  <c r="J4734" i="1"/>
  <c r="I4734" i="1"/>
  <c r="H4734" i="1"/>
  <c r="G4734" i="1"/>
  <c r="F4734" i="1"/>
  <c r="C4733" i="1"/>
  <c r="AG4732" i="1"/>
  <c r="AF4732" i="1"/>
  <c r="AE4732" i="1"/>
  <c r="J4738" i="1" s="1"/>
  <c r="AD4732" i="1"/>
  <c r="AC4732" i="1"/>
  <c r="J4737" i="1" s="1"/>
  <c r="I4740" i="1" s="1"/>
  <c r="AB4732" i="1"/>
  <c r="E4732" i="1"/>
  <c r="D4732" i="1"/>
  <c r="C4732" i="1"/>
  <c r="B4732" i="1"/>
  <c r="K4730" i="1"/>
  <c r="H4730" i="1"/>
  <c r="G4730" i="1"/>
  <c r="E4730" i="1"/>
  <c r="E4729" i="1"/>
  <c r="E4728" i="1"/>
  <c r="J4727" i="1"/>
  <c r="I4727" i="1"/>
  <c r="H4727" i="1"/>
  <c r="G4727" i="1"/>
  <c r="F4727" i="1"/>
  <c r="C4726" i="1"/>
  <c r="AG4725" i="1"/>
  <c r="AF4725" i="1"/>
  <c r="AE4725" i="1"/>
  <c r="J4729" i="1" s="1"/>
  <c r="AD4725" i="1"/>
  <c r="AC4725" i="1"/>
  <c r="J4728" i="1" s="1"/>
  <c r="AB4725" i="1"/>
  <c r="E4725" i="1"/>
  <c r="D4725" i="1"/>
  <c r="C4725" i="1"/>
  <c r="B4725" i="1"/>
  <c r="K4723" i="1"/>
  <c r="H4723" i="1"/>
  <c r="G4723" i="1"/>
  <c r="E4723" i="1"/>
  <c r="E4722" i="1"/>
  <c r="E4721" i="1"/>
  <c r="J4720" i="1"/>
  <c r="I4720" i="1"/>
  <c r="H4720" i="1"/>
  <c r="G4720" i="1"/>
  <c r="F4720" i="1"/>
  <c r="C4719" i="1"/>
  <c r="AG4718" i="1"/>
  <c r="AF4718" i="1"/>
  <c r="AE4718" i="1"/>
  <c r="J4722" i="1" s="1"/>
  <c r="AD4718" i="1"/>
  <c r="AC4718" i="1"/>
  <c r="J4721" i="1" s="1"/>
  <c r="I4724" i="1" s="1"/>
  <c r="AB4718" i="1"/>
  <c r="E4718" i="1"/>
  <c r="D4718" i="1"/>
  <c r="C4718" i="1"/>
  <c r="B4718" i="1"/>
  <c r="A4717" i="1"/>
  <c r="A4715" i="1"/>
  <c r="A4712" i="1"/>
  <c r="A4709" i="1"/>
  <c r="K4706" i="1"/>
  <c r="H4706" i="1"/>
  <c r="G4706" i="1"/>
  <c r="E4706" i="1"/>
  <c r="E4705" i="1"/>
  <c r="E4704" i="1"/>
  <c r="AG4703" i="1"/>
  <c r="AF4703" i="1"/>
  <c r="AE4703" i="1"/>
  <c r="AD4703" i="1"/>
  <c r="AC4703" i="1"/>
  <c r="AB4703" i="1"/>
  <c r="J4703" i="1"/>
  <c r="I4703" i="1"/>
  <c r="H4703" i="1"/>
  <c r="F4703" i="1"/>
  <c r="E4703" i="1"/>
  <c r="D4703" i="1"/>
  <c r="C4703" i="1"/>
  <c r="B4703" i="1"/>
  <c r="J4702" i="1"/>
  <c r="I4702" i="1"/>
  <c r="H4702" i="1"/>
  <c r="G4702" i="1"/>
  <c r="F4702" i="1"/>
  <c r="J4701" i="1"/>
  <c r="I4707" i="1" s="1"/>
  <c r="I4701" i="1"/>
  <c r="H4701" i="1"/>
  <c r="G4701" i="1"/>
  <c r="F4701" i="1"/>
  <c r="C4700" i="1"/>
  <c r="AG4699" i="1"/>
  <c r="AF4699" i="1"/>
  <c r="AE4699" i="1"/>
  <c r="J4705" i="1" s="1"/>
  <c r="AD4699" i="1"/>
  <c r="AC4699" i="1"/>
  <c r="J4704" i="1" s="1"/>
  <c r="AB4699" i="1"/>
  <c r="E4699" i="1"/>
  <c r="D4699" i="1"/>
  <c r="C4699" i="1"/>
  <c r="B4699" i="1"/>
  <c r="K4697" i="1"/>
  <c r="H4697" i="1"/>
  <c r="G4697" i="1"/>
  <c r="E4697" i="1"/>
  <c r="E4696" i="1"/>
  <c r="E4695" i="1"/>
  <c r="E4694" i="1"/>
  <c r="AG4693" i="1"/>
  <c r="AF4693" i="1"/>
  <c r="AE4693" i="1"/>
  <c r="AD4693" i="1"/>
  <c r="AC4693" i="1"/>
  <c r="AB4693" i="1"/>
  <c r="J4693" i="1"/>
  <c r="I4693" i="1"/>
  <c r="H4693" i="1"/>
  <c r="F4693" i="1"/>
  <c r="E4693" i="1"/>
  <c r="D4693" i="1"/>
  <c r="C4693" i="1"/>
  <c r="B4693" i="1"/>
  <c r="J4692" i="1"/>
  <c r="I4692" i="1"/>
  <c r="H4692" i="1"/>
  <c r="G4692" i="1"/>
  <c r="F4692" i="1"/>
  <c r="J4691" i="1"/>
  <c r="I4691" i="1"/>
  <c r="H4691" i="1"/>
  <c r="G4691" i="1"/>
  <c r="F4691" i="1"/>
  <c r="J4690" i="1"/>
  <c r="I4690" i="1"/>
  <c r="H4690" i="1"/>
  <c r="G4690" i="1"/>
  <c r="F4690" i="1"/>
  <c r="J4689" i="1"/>
  <c r="I4689" i="1"/>
  <c r="H4689" i="1"/>
  <c r="G4689" i="1"/>
  <c r="F4689" i="1"/>
  <c r="C4688" i="1"/>
  <c r="AG4687" i="1"/>
  <c r="J4696" i="1" s="1"/>
  <c r="AF4687" i="1"/>
  <c r="AE4687" i="1"/>
  <c r="J4695" i="1" s="1"/>
  <c r="AD4687" i="1"/>
  <c r="AC4687" i="1"/>
  <c r="J4694" i="1" s="1"/>
  <c r="AB4687" i="1"/>
  <c r="E4687" i="1"/>
  <c r="D4687" i="1"/>
  <c r="C4687" i="1"/>
  <c r="B4687" i="1"/>
  <c r="A4686" i="1"/>
  <c r="A4683" i="1"/>
  <c r="K4680" i="1"/>
  <c r="H4680" i="1"/>
  <c r="G4680" i="1"/>
  <c r="E4680" i="1"/>
  <c r="E4679" i="1"/>
  <c r="E4678" i="1"/>
  <c r="AG4677" i="1"/>
  <c r="AF4677" i="1"/>
  <c r="AE4677" i="1"/>
  <c r="AD4677" i="1"/>
  <c r="AC4677" i="1"/>
  <c r="AB4677" i="1"/>
  <c r="J4677" i="1"/>
  <c r="I4677" i="1"/>
  <c r="H4677" i="1"/>
  <c r="F4677" i="1"/>
  <c r="E4677" i="1"/>
  <c r="D4677" i="1"/>
  <c r="C4677" i="1"/>
  <c r="B4677" i="1"/>
  <c r="J4676" i="1"/>
  <c r="I4676" i="1"/>
  <c r="H4676" i="1"/>
  <c r="G4676" i="1"/>
  <c r="F4676" i="1"/>
  <c r="J4675" i="1"/>
  <c r="I4675" i="1"/>
  <c r="H4675" i="1"/>
  <c r="G4675" i="1"/>
  <c r="F4675" i="1"/>
  <c r="C4674" i="1"/>
  <c r="AG4673" i="1"/>
  <c r="AF4673" i="1"/>
  <c r="AE4673" i="1"/>
  <c r="J4679" i="1" s="1"/>
  <c r="AD4673" i="1"/>
  <c r="AC4673" i="1"/>
  <c r="J4678" i="1" s="1"/>
  <c r="I4681" i="1" s="1"/>
  <c r="AB4673" i="1"/>
  <c r="E4673" i="1"/>
  <c r="D4673" i="1"/>
  <c r="C4673" i="1"/>
  <c r="B4673" i="1"/>
  <c r="AA4672" i="1"/>
  <c r="K4671" i="1"/>
  <c r="H4671" i="1"/>
  <c r="G4671" i="1"/>
  <c r="E4671" i="1"/>
  <c r="E4670" i="1"/>
  <c r="E4669" i="1"/>
  <c r="J4668" i="1"/>
  <c r="I4668" i="1"/>
  <c r="H4668" i="1"/>
  <c r="G4668" i="1"/>
  <c r="F4668" i="1"/>
  <c r="C4667" i="1"/>
  <c r="AG4666" i="1"/>
  <c r="AF4666" i="1"/>
  <c r="AE4666" i="1"/>
  <c r="J4670" i="1" s="1"/>
  <c r="AD4666" i="1"/>
  <c r="AC4666" i="1"/>
  <c r="J4669" i="1" s="1"/>
  <c r="I4672" i="1" s="1"/>
  <c r="K4672" i="1" s="1"/>
  <c r="AB4666" i="1"/>
  <c r="E4666" i="1"/>
  <c r="D4666" i="1"/>
  <c r="C4666" i="1"/>
  <c r="B4666" i="1"/>
  <c r="A4665" i="1"/>
  <c r="A4663" i="1"/>
  <c r="AQ4660" i="1"/>
  <c r="A4660" i="1"/>
  <c r="A4657" i="1"/>
  <c r="K4654" i="1"/>
  <c r="H4654" i="1"/>
  <c r="G4654" i="1"/>
  <c r="E4654" i="1"/>
  <c r="E4653" i="1"/>
  <c r="E4652" i="1"/>
  <c r="AG4651" i="1"/>
  <c r="AF4651" i="1"/>
  <c r="AE4651" i="1"/>
  <c r="AD4651" i="1"/>
  <c r="AC4651" i="1"/>
  <c r="AB4651" i="1"/>
  <c r="J4651" i="1"/>
  <c r="I4651" i="1"/>
  <c r="H4651" i="1"/>
  <c r="F4651" i="1"/>
  <c r="E4651" i="1"/>
  <c r="D4651" i="1"/>
  <c r="C4651" i="1"/>
  <c r="B4651" i="1"/>
  <c r="J4650" i="1"/>
  <c r="I4650" i="1"/>
  <c r="H4650" i="1"/>
  <c r="G4650" i="1"/>
  <c r="F4650" i="1"/>
  <c r="J4649" i="1"/>
  <c r="I4649" i="1"/>
  <c r="H4649" i="1"/>
  <c r="G4649" i="1"/>
  <c r="F4649" i="1"/>
  <c r="C4648" i="1"/>
  <c r="AG4647" i="1"/>
  <c r="AF4647" i="1"/>
  <c r="AE4647" i="1"/>
  <c r="J4653" i="1" s="1"/>
  <c r="AD4647" i="1"/>
  <c r="AC4647" i="1"/>
  <c r="J4652" i="1" s="1"/>
  <c r="AB4647" i="1"/>
  <c r="E4647" i="1"/>
  <c r="D4647" i="1"/>
  <c r="C4647" i="1"/>
  <c r="B4647" i="1"/>
  <c r="I4646" i="1"/>
  <c r="K4645" i="1"/>
  <c r="H4645" i="1"/>
  <c r="G4645" i="1"/>
  <c r="E4645" i="1"/>
  <c r="E4644" i="1"/>
  <c r="E4643" i="1"/>
  <c r="J4642" i="1"/>
  <c r="I4642" i="1"/>
  <c r="H4642" i="1"/>
  <c r="G4642" i="1"/>
  <c r="F4642" i="1"/>
  <c r="C4641" i="1"/>
  <c r="AG4640" i="1"/>
  <c r="AF4640" i="1"/>
  <c r="AE4640" i="1"/>
  <c r="J4644" i="1" s="1"/>
  <c r="AD4640" i="1"/>
  <c r="AC4640" i="1"/>
  <c r="J4643" i="1" s="1"/>
  <c r="AB4640" i="1"/>
  <c r="E4640" i="1"/>
  <c r="D4640" i="1"/>
  <c r="C4640" i="1"/>
  <c r="B4640" i="1"/>
  <c r="K4638" i="1"/>
  <c r="H4638" i="1"/>
  <c r="G4638" i="1"/>
  <c r="E4638" i="1"/>
  <c r="E4637" i="1"/>
  <c r="E4636" i="1"/>
  <c r="J4635" i="1"/>
  <c r="I4635" i="1"/>
  <c r="H4635" i="1"/>
  <c r="G4635" i="1"/>
  <c r="F4635" i="1"/>
  <c r="C4634" i="1"/>
  <c r="AG4633" i="1"/>
  <c r="AF4633" i="1"/>
  <c r="AE4633" i="1"/>
  <c r="J4637" i="1" s="1"/>
  <c r="AD4633" i="1"/>
  <c r="AC4633" i="1"/>
  <c r="J4636" i="1" s="1"/>
  <c r="AB4633" i="1"/>
  <c r="E4633" i="1"/>
  <c r="D4633" i="1"/>
  <c r="C4633" i="1"/>
  <c r="B4633" i="1"/>
  <c r="A4632" i="1"/>
  <c r="A4629" i="1"/>
  <c r="K4626" i="1"/>
  <c r="H4626" i="1"/>
  <c r="G4626" i="1"/>
  <c r="E4626" i="1"/>
  <c r="E4625" i="1"/>
  <c r="E4624" i="1"/>
  <c r="J4623" i="1"/>
  <c r="I4623" i="1"/>
  <c r="H4623" i="1"/>
  <c r="G4623" i="1"/>
  <c r="F4623" i="1"/>
  <c r="C4622" i="1"/>
  <c r="AG4621" i="1"/>
  <c r="AF4621" i="1"/>
  <c r="AE4621" i="1"/>
  <c r="J4625" i="1" s="1"/>
  <c r="AD4621" i="1"/>
  <c r="AC4621" i="1"/>
  <c r="J4624" i="1" s="1"/>
  <c r="AB4621" i="1"/>
  <c r="E4621" i="1"/>
  <c r="D4621" i="1"/>
  <c r="C4621" i="1"/>
  <c r="B4621" i="1"/>
  <c r="A4620" i="1"/>
  <c r="A4618" i="1"/>
  <c r="A4615" i="1"/>
  <c r="A4612" i="1"/>
  <c r="J4609" i="1"/>
  <c r="I4610" i="1" s="1"/>
  <c r="AA4610" i="1" s="1"/>
  <c r="I4612" i="1" s="1"/>
  <c r="M4612" i="1" s="1"/>
  <c r="N4612" i="1" s="1"/>
  <c r="O4612" i="1" s="1"/>
  <c r="I4609" i="1"/>
  <c r="H4609" i="1"/>
  <c r="G4609" i="1"/>
  <c r="F4609" i="1"/>
  <c r="AG4608" i="1"/>
  <c r="AF4608" i="1"/>
  <c r="AE4608" i="1"/>
  <c r="AD4608" i="1"/>
  <c r="AC4608" i="1"/>
  <c r="AB4608" i="1"/>
  <c r="E4608" i="1"/>
  <c r="D4608" i="1"/>
  <c r="C4608" i="1"/>
  <c r="B4608" i="1"/>
  <c r="A4607" i="1"/>
  <c r="A4604" i="1"/>
  <c r="K4601" i="1"/>
  <c r="H4601" i="1"/>
  <c r="G4601" i="1"/>
  <c r="E4601" i="1"/>
  <c r="J4600" i="1"/>
  <c r="E4600" i="1"/>
  <c r="E4599" i="1"/>
  <c r="AG4598" i="1"/>
  <c r="AF4598" i="1"/>
  <c r="AE4598" i="1"/>
  <c r="AD4598" i="1"/>
  <c r="AC4598" i="1"/>
  <c r="AB4598" i="1"/>
  <c r="J4598" i="1"/>
  <c r="I4598" i="1"/>
  <c r="H4598" i="1"/>
  <c r="F4598" i="1"/>
  <c r="E4598" i="1"/>
  <c r="D4598" i="1"/>
  <c r="C4598" i="1"/>
  <c r="B4598" i="1"/>
  <c r="J4597" i="1"/>
  <c r="I4597" i="1"/>
  <c r="H4597" i="1"/>
  <c r="G4597" i="1"/>
  <c r="F4597" i="1"/>
  <c r="J4596" i="1"/>
  <c r="I4596" i="1"/>
  <c r="H4596" i="1"/>
  <c r="G4596" i="1"/>
  <c r="F4596" i="1"/>
  <c r="C4595" i="1"/>
  <c r="AG4594" i="1"/>
  <c r="AF4594" i="1"/>
  <c r="AE4594" i="1"/>
  <c r="AD4594" i="1"/>
  <c r="AC4594" i="1"/>
  <c r="J4599" i="1" s="1"/>
  <c r="AB4594" i="1"/>
  <c r="E4594" i="1"/>
  <c r="D4594" i="1"/>
  <c r="C4594" i="1"/>
  <c r="B4594" i="1"/>
  <c r="K4592" i="1"/>
  <c r="H4592" i="1"/>
  <c r="G4592" i="1"/>
  <c r="E4592" i="1"/>
  <c r="E4591" i="1"/>
  <c r="J4590" i="1"/>
  <c r="E4590" i="1"/>
  <c r="E4589" i="1"/>
  <c r="AG4588" i="1"/>
  <c r="AF4588" i="1"/>
  <c r="AE4588" i="1"/>
  <c r="AD4588" i="1"/>
  <c r="AC4588" i="1"/>
  <c r="AB4588" i="1"/>
  <c r="J4588" i="1"/>
  <c r="I4588" i="1"/>
  <c r="H4588" i="1"/>
  <c r="F4588" i="1"/>
  <c r="E4588" i="1"/>
  <c r="D4588" i="1"/>
  <c r="C4588" i="1"/>
  <c r="B4588" i="1"/>
  <c r="J4587" i="1"/>
  <c r="I4587" i="1"/>
  <c r="H4587" i="1"/>
  <c r="G4587" i="1"/>
  <c r="F4587" i="1"/>
  <c r="J4586" i="1"/>
  <c r="I4586" i="1"/>
  <c r="H4586" i="1"/>
  <c r="G4586" i="1"/>
  <c r="F4586" i="1"/>
  <c r="J4585" i="1"/>
  <c r="I4585" i="1"/>
  <c r="H4585" i="1"/>
  <c r="G4585" i="1"/>
  <c r="F4585" i="1"/>
  <c r="J4584" i="1"/>
  <c r="I4593" i="1" s="1"/>
  <c r="I4584" i="1"/>
  <c r="H4584" i="1"/>
  <c r="G4584" i="1"/>
  <c r="F4584" i="1"/>
  <c r="C4583" i="1"/>
  <c r="AG4582" i="1"/>
  <c r="J4591" i="1" s="1"/>
  <c r="AF4582" i="1"/>
  <c r="AE4582" i="1"/>
  <c r="AD4582" i="1"/>
  <c r="AC4582" i="1"/>
  <c r="J4589" i="1" s="1"/>
  <c r="AB4582" i="1"/>
  <c r="E4582" i="1"/>
  <c r="D4582" i="1"/>
  <c r="C4582" i="1"/>
  <c r="B4582" i="1"/>
  <c r="A4581" i="1"/>
  <c r="A4578" i="1"/>
  <c r="K4575" i="1"/>
  <c r="H4575" i="1"/>
  <c r="G4575" i="1"/>
  <c r="E4575" i="1"/>
  <c r="J4574" i="1"/>
  <c r="E4574" i="1"/>
  <c r="E4573" i="1"/>
  <c r="AG4572" i="1"/>
  <c r="AF4572" i="1"/>
  <c r="AE4572" i="1"/>
  <c r="AD4572" i="1"/>
  <c r="AC4572" i="1"/>
  <c r="AB4572" i="1"/>
  <c r="J4572" i="1"/>
  <c r="I4572" i="1"/>
  <c r="H4572" i="1"/>
  <c r="F4572" i="1"/>
  <c r="E4572" i="1"/>
  <c r="D4572" i="1"/>
  <c r="C4572" i="1"/>
  <c r="B4572" i="1"/>
  <c r="J4571" i="1"/>
  <c r="I4571" i="1"/>
  <c r="H4571" i="1"/>
  <c r="G4571" i="1"/>
  <c r="F4571" i="1"/>
  <c r="J4570" i="1"/>
  <c r="I4570" i="1"/>
  <c r="H4570" i="1"/>
  <c r="G4570" i="1"/>
  <c r="F4570" i="1"/>
  <c r="C4569" i="1"/>
  <c r="AG4568" i="1"/>
  <c r="AF4568" i="1"/>
  <c r="AE4568" i="1"/>
  <c r="AD4568" i="1"/>
  <c r="AC4568" i="1"/>
  <c r="AB4568" i="1"/>
  <c r="E4568" i="1"/>
  <c r="D4568" i="1"/>
  <c r="C4568" i="1"/>
  <c r="B4568" i="1"/>
  <c r="K4566" i="1"/>
  <c r="H4566" i="1"/>
  <c r="G4566" i="1"/>
  <c r="E4566" i="1"/>
  <c r="E4565" i="1"/>
  <c r="E4564" i="1"/>
  <c r="J4563" i="1"/>
  <c r="I4563" i="1"/>
  <c r="H4563" i="1"/>
  <c r="G4563" i="1"/>
  <c r="F4563" i="1"/>
  <c r="C4562" i="1"/>
  <c r="AG4561" i="1"/>
  <c r="AF4561" i="1"/>
  <c r="AE4561" i="1"/>
  <c r="J4565" i="1" s="1"/>
  <c r="AD4561" i="1"/>
  <c r="AC4561" i="1"/>
  <c r="J4564" i="1" s="1"/>
  <c r="AB4561" i="1"/>
  <c r="E4561" i="1"/>
  <c r="D4561" i="1"/>
  <c r="C4561" i="1"/>
  <c r="B4561" i="1"/>
  <c r="A4560" i="1"/>
  <c r="A4557" i="1"/>
  <c r="K4554" i="1"/>
  <c r="H4554" i="1"/>
  <c r="G4554" i="1"/>
  <c r="E4554" i="1"/>
  <c r="E4553" i="1"/>
  <c r="E4552" i="1"/>
  <c r="J4551" i="1"/>
  <c r="I4551" i="1"/>
  <c r="H4551" i="1"/>
  <c r="G4551" i="1"/>
  <c r="F4551" i="1"/>
  <c r="C4550" i="1"/>
  <c r="AG4549" i="1"/>
  <c r="AF4549" i="1"/>
  <c r="AE4549" i="1"/>
  <c r="J4553" i="1" s="1"/>
  <c r="AD4549" i="1"/>
  <c r="AC4549" i="1"/>
  <c r="J4552" i="1" s="1"/>
  <c r="I4555" i="1" s="1"/>
  <c r="AB4549" i="1"/>
  <c r="E4549" i="1"/>
  <c r="D4549" i="1"/>
  <c r="C4549" i="1"/>
  <c r="B4549" i="1"/>
  <c r="A4548" i="1"/>
  <c r="AQ4545" i="1"/>
  <c r="A4545" i="1"/>
  <c r="E4542" i="1"/>
  <c r="AG4541" i="1"/>
  <c r="AF4541" i="1"/>
  <c r="AE4541" i="1"/>
  <c r="AD4541" i="1"/>
  <c r="AC4541" i="1"/>
  <c r="AB4541" i="1"/>
  <c r="J4541" i="1"/>
  <c r="I4541" i="1"/>
  <c r="H4541" i="1"/>
  <c r="F4541" i="1"/>
  <c r="E4541" i="1"/>
  <c r="D4541" i="1"/>
  <c r="C4541" i="1"/>
  <c r="B4541" i="1"/>
  <c r="J4540" i="1"/>
  <c r="I4540" i="1"/>
  <c r="H4540" i="1"/>
  <c r="G4540" i="1"/>
  <c r="F4540" i="1"/>
  <c r="J4539" i="1"/>
  <c r="I4539" i="1"/>
  <c r="H4539" i="1"/>
  <c r="G4539" i="1"/>
  <c r="F4539" i="1"/>
  <c r="J4538" i="1"/>
  <c r="I4538" i="1"/>
  <c r="H4538" i="1"/>
  <c r="G4538" i="1"/>
  <c r="F4538" i="1"/>
  <c r="C4537" i="1"/>
  <c r="AG4536" i="1"/>
  <c r="J4542" i="1" s="1"/>
  <c r="I4543" i="1" s="1"/>
  <c r="AF4536" i="1"/>
  <c r="AE4536" i="1"/>
  <c r="AD4536" i="1"/>
  <c r="AC4536" i="1"/>
  <c r="AB4536" i="1"/>
  <c r="E4536" i="1"/>
  <c r="D4536" i="1"/>
  <c r="C4536" i="1"/>
  <c r="B4536" i="1"/>
  <c r="E4534" i="1"/>
  <c r="AG4533" i="1"/>
  <c r="AF4533" i="1"/>
  <c r="AE4533" i="1"/>
  <c r="AD4533" i="1"/>
  <c r="AC4533" i="1"/>
  <c r="AB4533" i="1"/>
  <c r="J4533" i="1"/>
  <c r="I4533" i="1"/>
  <c r="H4533" i="1"/>
  <c r="F4533" i="1"/>
  <c r="E4533" i="1"/>
  <c r="D4533" i="1"/>
  <c r="C4533" i="1"/>
  <c r="B4533" i="1"/>
  <c r="J4532" i="1"/>
  <c r="I4532" i="1"/>
  <c r="H4532" i="1"/>
  <c r="G4532" i="1"/>
  <c r="F4532" i="1"/>
  <c r="J4531" i="1"/>
  <c r="I4531" i="1"/>
  <c r="H4531" i="1"/>
  <c r="G4531" i="1"/>
  <c r="F4531" i="1"/>
  <c r="J4530" i="1"/>
  <c r="I4530" i="1"/>
  <c r="H4530" i="1"/>
  <c r="G4530" i="1"/>
  <c r="F4530" i="1"/>
  <c r="C4529" i="1"/>
  <c r="AG4528" i="1"/>
  <c r="J4534" i="1" s="1"/>
  <c r="AF4528" i="1"/>
  <c r="AE4528" i="1"/>
  <c r="AD4528" i="1"/>
  <c r="AC4528" i="1"/>
  <c r="AB4528" i="1"/>
  <c r="E4528" i="1"/>
  <c r="D4528" i="1"/>
  <c r="C4528" i="1"/>
  <c r="B4528" i="1"/>
  <c r="K4526" i="1"/>
  <c r="H4526" i="1"/>
  <c r="G4526" i="1"/>
  <c r="E4526" i="1"/>
  <c r="E4525" i="1"/>
  <c r="E4524" i="1"/>
  <c r="J4523" i="1"/>
  <c r="I4523" i="1"/>
  <c r="H4523" i="1"/>
  <c r="G4523" i="1"/>
  <c r="F4523" i="1"/>
  <c r="C4522" i="1"/>
  <c r="AG4521" i="1"/>
  <c r="AF4521" i="1"/>
  <c r="AE4521" i="1"/>
  <c r="J4525" i="1" s="1"/>
  <c r="AD4521" i="1"/>
  <c r="AC4521" i="1"/>
  <c r="J4524" i="1" s="1"/>
  <c r="AB4521" i="1"/>
  <c r="E4521" i="1"/>
  <c r="D4521" i="1"/>
  <c r="C4521" i="1"/>
  <c r="B4521" i="1"/>
  <c r="E4519" i="1"/>
  <c r="AG4518" i="1"/>
  <c r="AF4518" i="1"/>
  <c r="AE4518" i="1"/>
  <c r="AD4518" i="1"/>
  <c r="AC4518" i="1"/>
  <c r="AB4518" i="1"/>
  <c r="J4518" i="1"/>
  <c r="I4518" i="1"/>
  <c r="H4518" i="1"/>
  <c r="F4518" i="1"/>
  <c r="E4518" i="1"/>
  <c r="D4518" i="1"/>
  <c r="C4518" i="1"/>
  <c r="B4518" i="1"/>
  <c r="J4517" i="1"/>
  <c r="I4517" i="1"/>
  <c r="H4517" i="1"/>
  <c r="G4517" i="1"/>
  <c r="F4517" i="1"/>
  <c r="J4516" i="1"/>
  <c r="I4516" i="1"/>
  <c r="H4516" i="1"/>
  <c r="G4516" i="1"/>
  <c r="F4516" i="1"/>
  <c r="J4515" i="1"/>
  <c r="I4515" i="1"/>
  <c r="H4515" i="1"/>
  <c r="G4515" i="1"/>
  <c r="F4515" i="1"/>
  <c r="C4514" i="1"/>
  <c r="AG4513" i="1"/>
  <c r="J4519" i="1" s="1"/>
  <c r="AF4513" i="1"/>
  <c r="AE4513" i="1"/>
  <c r="AD4513" i="1"/>
  <c r="AC4513" i="1"/>
  <c r="AB4513" i="1"/>
  <c r="E4513" i="1"/>
  <c r="D4513" i="1"/>
  <c r="C4513" i="1"/>
  <c r="B4513" i="1"/>
  <c r="AP4512" i="1"/>
  <c r="A4512" i="1"/>
  <c r="A4510" i="1"/>
  <c r="A4508" i="1"/>
  <c r="A4505" i="1"/>
  <c r="AQ4502" i="1"/>
  <c r="A4502" i="1"/>
  <c r="AA4500" i="1"/>
  <c r="K4499" i="1"/>
  <c r="H4499" i="1"/>
  <c r="G4499" i="1"/>
  <c r="E4499" i="1"/>
  <c r="E4498" i="1"/>
  <c r="E4497" i="1"/>
  <c r="E4496" i="1"/>
  <c r="J4495" i="1"/>
  <c r="I4495" i="1"/>
  <c r="H4495" i="1"/>
  <c r="G4495" i="1"/>
  <c r="F4495" i="1"/>
  <c r="J4494" i="1"/>
  <c r="I4494" i="1"/>
  <c r="H4494" i="1"/>
  <c r="G4494" i="1"/>
  <c r="F4494" i="1"/>
  <c r="J4493" i="1"/>
  <c r="I4500" i="1" s="1"/>
  <c r="K4500" i="1" s="1"/>
  <c r="I4493" i="1"/>
  <c r="H4493" i="1"/>
  <c r="G4493" i="1"/>
  <c r="F4493" i="1"/>
  <c r="AG4492" i="1"/>
  <c r="J4498" i="1" s="1"/>
  <c r="AF4492" i="1"/>
  <c r="AE4492" i="1"/>
  <c r="J4497" i="1" s="1"/>
  <c r="AD4492" i="1"/>
  <c r="AC4492" i="1"/>
  <c r="J4496" i="1" s="1"/>
  <c r="AB4492" i="1"/>
  <c r="E4492" i="1"/>
  <c r="D4492" i="1"/>
  <c r="C4492" i="1"/>
  <c r="B4492" i="1"/>
  <c r="K4490" i="1"/>
  <c r="H4490" i="1"/>
  <c r="G4490" i="1"/>
  <c r="E4490" i="1"/>
  <c r="E4489" i="1"/>
  <c r="E4488" i="1"/>
  <c r="E4487" i="1"/>
  <c r="J4486" i="1"/>
  <c r="I4486" i="1"/>
  <c r="H4486" i="1"/>
  <c r="G4486" i="1"/>
  <c r="F4486" i="1"/>
  <c r="J4485" i="1"/>
  <c r="I4491" i="1" s="1"/>
  <c r="I4485" i="1"/>
  <c r="H4485" i="1"/>
  <c r="G4485" i="1"/>
  <c r="F4485" i="1"/>
  <c r="J4484" i="1"/>
  <c r="I4484" i="1"/>
  <c r="H4484" i="1"/>
  <c r="G4484" i="1"/>
  <c r="F4484" i="1"/>
  <c r="AG4483" i="1"/>
  <c r="J4489" i="1" s="1"/>
  <c r="AF4483" i="1"/>
  <c r="AE4483" i="1"/>
  <c r="J4488" i="1" s="1"/>
  <c r="AD4483" i="1"/>
  <c r="AC4483" i="1"/>
  <c r="J4487" i="1" s="1"/>
  <c r="AB4483" i="1"/>
  <c r="E4483" i="1"/>
  <c r="D4483" i="1"/>
  <c r="C4483" i="1"/>
  <c r="B4483" i="1"/>
  <c r="K4481" i="1"/>
  <c r="H4481" i="1"/>
  <c r="G4481" i="1"/>
  <c r="E4481" i="1"/>
  <c r="E4480" i="1"/>
  <c r="E4479" i="1"/>
  <c r="E4478" i="1"/>
  <c r="J4477" i="1"/>
  <c r="I4477" i="1"/>
  <c r="H4477" i="1"/>
  <c r="G4477" i="1"/>
  <c r="F4477" i="1"/>
  <c r="J4476" i="1"/>
  <c r="I4476" i="1"/>
  <c r="H4476" i="1"/>
  <c r="G4476" i="1"/>
  <c r="F4476" i="1"/>
  <c r="J4475" i="1"/>
  <c r="I4482" i="1" s="1"/>
  <c r="I4475" i="1"/>
  <c r="H4475" i="1"/>
  <c r="G4475" i="1"/>
  <c r="F4475" i="1"/>
  <c r="AG4474" i="1"/>
  <c r="J4480" i="1" s="1"/>
  <c r="AF4474" i="1"/>
  <c r="AE4474" i="1"/>
  <c r="J4479" i="1" s="1"/>
  <c r="AD4474" i="1"/>
  <c r="AC4474" i="1"/>
  <c r="J4478" i="1" s="1"/>
  <c r="AB4474" i="1"/>
  <c r="E4474" i="1"/>
  <c r="D4474" i="1"/>
  <c r="C4474" i="1"/>
  <c r="B4474" i="1"/>
  <c r="K4472" i="1"/>
  <c r="H4472" i="1"/>
  <c r="G4472" i="1"/>
  <c r="E4472" i="1"/>
  <c r="J4471" i="1"/>
  <c r="E4471" i="1"/>
  <c r="E4470" i="1"/>
  <c r="J4469" i="1"/>
  <c r="E4469" i="1"/>
  <c r="J4468" i="1"/>
  <c r="I4468" i="1"/>
  <c r="H4468" i="1"/>
  <c r="G4468" i="1"/>
  <c r="F4468" i="1"/>
  <c r="J4467" i="1"/>
  <c r="I4473" i="1" s="1"/>
  <c r="I4467" i="1"/>
  <c r="H4467" i="1"/>
  <c r="G4467" i="1"/>
  <c r="F4467" i="1"/>
  <c r="J4466" i="1"/>
  <c r="I4466" i="1"/>
  <c r="H4466" i="1"/>
  <c r="G4466" i="1"/>
  <c r="F4466" i="1"/>
  <c r="AG4465" i="1"/>
  <c r="AF4465" i="1"/>
  <c r="AE4465" i="1"/>
  <c r="J4470" i="1" s="1"/>
  <c r="AD4465" i="1"/>
  <c r="AC4465" i="1"/>
  <c r="AB4465" i="1"/>
  <c r="E4465" i="1"/>
  <c r="D4465" i="1"/>
  <c r="C4465" i="1"/>
  <c r="B4465" i="1"/>
  <c r="K4463" i="1"/>
  <c r="H4463" i="1"/>
  <c r="G4463" i="1"/>
  <c r="E4463" i="1"/>
  <c r="E4462" i="1"/>
  <c r="J4461" i="1"/>
  <c r="E4461" i="1"/>
  <c r="J4460" i="1"/>
  <c r="E4460" i="1"/>
  <c r="J4459" i="1"/>
  <c r="I4459" i="1"/>
  <c r="H4459" i="1"/>
  <c r="G4459" i="1"/>
  <c r="F4459" i="1"/>
  <c r="J4458" i="1"/>
  <c r="I4458" i="1"/>
  <c r="H4458" i="1"/>
  <c r="G4458" i="1"/>
  <c r="F4458" i="1"/>
  <c r="J4457" i="1"/>
  <c r="I4464" i="1" s="1"/>
  <c r="K4464" i="1" s="1"/>
  <c r="I4457" i="1"/>
  <c r="H4457" i="1"/>
  <c r="G4457" i="1"/>
  <c r="F4457" i="1"/>
  <c r="AG4456" i="1"/>
  <c r="J4462" i="1" s="1"/>
  <c r="AF4456" i="1"/>
  <c r="AE4456" i="1"/>
  <c r="AD4456" i="1"/>
  <c r="AC4456" i="1"/>
  <c r="AB4456" i="1"/>
  <c r="E4456" i="1"/>
  <c r="D4456" i="1"/>
  <c r="C4456" i="1"/>
  <c r="B4456" i="1"/>
  <c r="K4454" i="1"/>
  <c r="H4454" i="1"/>
  <c r="G4454" i="1"/>
  <c r="E4454" i="1"/>
  <c r="E4453" i="1"/>
  <c r="E4452" i="1"/>
  <c r="E4451" i="1"/>
  <c r="J4450" i="1"/>
  <c r="I4450" i="1"/>
  <c r="H4450" i="1"/>
  <c r="G4450" i="1"/>
  <c r="F4450" i="1"/>
  <c r="J4449" i="1"/>
  <c r="I4449" i="1"/>
  <c r="H4449" i="1"/>
  <c r="G4449" i="1"/>
  <c r="F4449" i="1"/>
  <c r="J4448" i="1"/>
  <c r="I4448" i="1"/>
  <c r="H4448" i="1"/>
  <c r="G4448" i="1"/>
  <c r="F4448" i="1"/>
  <c r="AG4447" i="1"/>
  <c r="J4453" i="1" s="1"/>
  <c r="AF4447" i="1"/>
  <c r="AE4447" i="1"/>
  <c r="J4452" i="1" s="1"/>
  <c r="AD4447" i="1"/>
  <c r="AC4447" i="1"/>
  <c r="J4451" i="1" s="1"/>
  <c r="AB4447" i="1"/>
  <c r="E4447" i="1"/>
  <c r="D4447" i="1"/>
  <c r="C4447" i="1"/>
  <c r="B4447" i="1"/>
  <c r="I4446" i="1"/>
  <c r="K4445" i="1"/>
  <c r="H4445" i="1"/>
  <c r="G4445" i="1"/>
  <c r="E4445" i="1"/>
  <c r="E4444" i="1"/>
  <c r="E4443" i="1"/>
  <c r="E4442" i="1"/>
  <c r="J4441" i="1"/>
  <c r="I4441" i="1"/>
  <c r="H4441" i="1"/>
  <c r="G4441" i="1"/>
  <c r="F4441" i="1"/>
  <c r="J4440" i="1"/>
  <c r="I4440" i="1"/>
  <c r="H4440" i="1"/>
  <c r="G4440" i="1"/>
  <c r="F4440" i="1"/>
  <c r="J4439" i="1"/>
  <c r="I4439" i="1"/>
  <c r="H4439" i="1"/>
  <c r="G4439" i="1"/>
  <c r="F4439" i="1"/>
  <c r="AG4438" i="1"/>
  <c r="J4444" i="1" s="1"/>
  <c r="AF4438" i="1"/>
  <c r="AE4438" i="1"/>
  <c r="J4443" i="1" s="1"/>
  <c r="AD4438" i="1"/>
  <c r="AC4438" i="1"/>
  <c r="J4442" i="1" s="1"/>
  <c r="AB4438" i="1"/>
  <c r="E4438" i="1"/>
  <c r="D4438" i="1"/>
  <c r="C4438" i="1"/>
  <c r="B4438" i="1"/>
  <c r="K4436" i="1"/>
  <c r="H4436" i="1"/>
  <c r="G4436" i="1"/>
  <c r="E4436" i="1"/>
  <c r="E4435" i="1"/>
  <c r="E4434" i="1"/>
  <c r="E4433" i="1"/>
  <c r="J4432" i="1"/>
  <c r="I4432" i="1"/>
  <c r="H4432" i="1"/>
  <c r="G4432" i="1"/>
  <c r="F4432" i="1"/>
  <c r="J4431" i="1"/>
  <c r="I4431" i="1"/>
  <c r="H4431" i="1"/>
  <c r="G4431" i="1"/>
  <c r="F4431" i="1"/>
  <c r="J4430" i="1"/>
  <c r="I4430" i="1"/>
  <c r="H4430" i="1"/>
  <c r="G4430" i="1"/>
  <c r="F4430" i="1"/>
  <c r="AG4429" i="1"/>
  <c r="J4435" i="1" s="1"/>
  <c r="AF4429" i="1"/>
  <c r="AE4429" i="1"/>
  <c r="J4434" i="1" s="1"/>
  <c r="AD4429" i="1"/>
  <c r="AC4429" i="1"/>
  <c r="J4433" i="1" s="1"/>
  <c r="AB4429" i="1"/>
  <c r="E4429" i="1"/>
  <c r="D4429" i="1"/>
  <c r="C4429" i="1"/>
  <c r="B4429" i="1"/>
  <c r="A4428" i="1"/>
  <c r="AQ4425" i="1"/>
  <c r="A4425" i="1"/>
  <c r="K4422" i="1"/>
  <c r="H4422" i="1"/>
  <c r="G4422" i="1"/>
  <c r="E4422" i="1"/>
  <c r="J4421" i="1"/>
  <c r="E4421" i="1"/>
  <c r="J4420" i="1"/>
  <c r="E4420" i="1"/>
  <c r="J4419" i="1"/>
  <c r="E4419" i="1"/>
  <c r="J4418" i="1"/>
  <c r="I4418" i="1"/>
  <c r="H4418" i="1"/>
  <c r="G4418" i="1"/>
  <c r="F4418" i="1"/>
  <c r="J4417" i="1"/>
  <c r="I4417" i="1"/>
  <c r="H4417" i="1"/>
  <c r="G4417" i="1"/>
  <c r="F4417" i="1"/>
  <c r="J4416" i="1"/>
  <c r="I4423" i="1" s="1"/>
  <c r="AA4423" i="1" s="1"/>
  <c r="I4416" i="1"/>
  <c r="H4416" i="1"/>
  <c r="G4416" i="1"/>
  <c r="F4416" i="1"/>
  <c r="AG4415" i="1"/>
  <c r="AF4415" i="1"/>
  <c r="AE4415" i="1"/>
  <c r="AD4415" i="1"/>
  <c r="AC4415" i="1"/>
  <c r="AB4415" i="1"/>
  <c r="E4415" i="1"/>
  <c r="D4415" i="1"/>
  <c r="C4415" i="1"/>
  <c r="B4415" i="1"/>
  <c r="K4413" i="1"/>
  <c r="H4413" i="1"/>
  <c r="G4413" i="1"/>
  <c r="E4413" i="1"/>
  <c r="J4412" i="1"/>
  <c r="E4412" i="1"/>
  <c r="J4411" i="1"/>
  <c r="E4411" i="1"/>
  <c r="J4410" i="1"/>
  <c r="E4410" i="1"/>
  <c r="J4409" i="1"/>
  <c r="I4409" i="1"/>
  <c r="H4409" i="1"/>
  <c r="G4409" i="1"/>
  <c r="F4409" i="1"/>
  <c r="J4408" i="1"/>
  <c r="I4408" i="1"/>
  <c r="H4408" i="1"/>
  <c r="G4408" i="1"/>
  <c r="F4408" i="1"/>
  <c r="J4407" i="1"/>
  <c r="I4414" i="1" s="1"/>
  <c r="I4407" i="1"/>
  <c r="H4407" i="1"/>
  <c r="G4407" i="1"/>
  <c r="F4407" i="1"/>
  <c r="AG4406" i="1"/>
  <c r="AF4406" i="1"/>
  <c r="AE4406" i="1"/>
  <c r="AD4406" i="1"/>
  <c r="AC4406" i="1"/>
  <c r="AB4406" i="1"/>
  <c r="E4406" i="1"/>
  <c r="D4406" i="1"/>
  <c r="C4406" i="1"/>
  <c r="B4406" i="1"/>
  <c r="K4404" i="1"/>
  <c r="H4404" i="1"/>
  <c r="G4404" i="1"/>
  <c r="E4404" i="1"/>
  <c r="J4403" i="1"/>
  <c r="E4403" i="1"/>
  <c r="J4402" i="1"/>
  <c r="E4402" i="1"/>
  <c r="J4401" i="1"/>
  <c r="E4401" i="1"/>
  <c r="J4400" i="1"/>
  <c r="I4400" i="1"/>
  <c r="H4400" i="1"/>
  <c r="G4400" i="1"/>
  <c r="F4400" i="1"/>
  <c r="J4399" i="1"/>
  <c r="I4399" i="1"/>
  <c r="H4399" i="1"/>
  <c r="G4399" i="1"/>
  <c r="F4399" i="1"/>
  <c r="J4398" i="1"/>
  <c r="I4398" i="1"/>
  <c r="H4398" i="1"/>
  <c r="G4398" i="1"/>
  <c r="F4398" i="1"/>
  <c r="AG4397" i="1"/>
  <c r="AF4397" i="1"/>
  <c r="AE4397" i="1"/>
  <c r="AD4397" i="1"/>
  <c r="AC4397" i="1"/>
  <c r="AB4397" i="1"/>
  <c r="E4397" i="1"/>
  <c r="D4397" i="1"/>
  <c r="C4397" i="1"/>
  <c r="B4397" i="1"/>
  <c r="K4395" i="1"/>
  <c r="H4395" i="1"/>
  <c r="G4395" i="1"/>
  <c r="E4395" i="1"/>
  <c r="J4394" i="1"/>
  <c r="E4394" i="1"/>
  <c r="J4393" i="1"/>
  <c r="E4393" i="1"/>
  <c r="J4392" i="1"/>
  <c r="E4392" i="1"/>
  <c r="J4391" i="1"/>
  <c r="I4391" i="1"/>
  <c r="H4391" i="1"/>
  <c r="G4391" i="1"/>
  <c r="F4391" i="1"/>
  <c r="J4390" i="1"/>
  <c r="I4390" i="1"/>
  <c r="H4390" i="1"/>
  <c r="G4390" i="1"/>
  <c r="F4390" i="1"/>
  <c r="J4389" i="1"/>
  <c r="I4396" i="1" s="1"/>
  <c r="I4389" i="1"/>
  <c r="H4389" i="1"/>
  <c r="G4389" i="1"/>
  <c r="F4389" i="1"/>
  <c r="AG4388" i="1"/>
  <c r="AF4388" i="1"/>
  <c r="AE4388" i="1"/>
  <c r="AD4388" i="1"/>
  <c r="AC4388" i="1"/>
  <c r="AB4388" i="1"/>
  <c r="E4388" i="1"/>
  <c r="D4388" i="1"/>
  <c r="C4388" i="1"/>
  <c r="B4388" i="1"/>
  <c r="K4386" i="1"/>
  <c r="H4386" i="1"/>
  <c r="G4386" i="1"/>
  <c r="E4386" i="1"/>
  <c r="J4385" i="1"/>
  <c r="E4385" i="1"/>
  <c r="J4384" i="1"/>
  <c r="E4384" i="1"/>
  <c r="J4383" i="1"/>
  <c r="E4383" i="1"/>
  <c r="J4382" i="1"/>
  <c r="I4382" i="1"/>
  <c r="H4382" i="1"/>
  <c r="G4382" i="1"/>
  <c r="F4382" i="1"/>
  <c r="J4381" i="1"/>
  <c r="I4381" i="1"/>
  <c r="H4381" i="1"/>
  <c r="G4381" i="1"/>
  <c r="F4381" i="1"/>
  <c r="J4380" i="1"/>
  <c r="I4380" i="1"/>
  <c r="H4380" i="1"/>
  <c r="G4380" i="1"/>
  <c r="F4380" i="1"/>
  <c r="AG4379" i="1"/>
  <c r="AF4379" i="1"/>
  <c r="AE4379" i="1"/>
  <c r="AD4379" i="1"/>
  <c r="AC4379" i="1"/>
  <c r="AB4379" i="1"/>
  <c r="E4379" i="1"/>
  <c r="D4379" i="1"/>
  <c r="C4379" i="1"/>
  <c r="B4379" i="1"/>
  <c r="K4377" i="1"/>
  <c r="H4377" i="1"/>
  <c r="G4377" i="1"/>
  <c r="E4377" i="1"/>
  <c r="J4376" i="1"/>
  <c r="E4376" i="1"/>
  <c r="J4375" i="1"/>
  <c r="E4375" i="1"/>
  <c r="J4374" i="1"/>
  <c r="E4374" i="1"/>
  <c r="J4373" i="1"/>
  <c r="I4373" i="1"/>
  <c r="H4373" i="1"/>
  <c r="G4373" i="1"/>
  <c r="F4373" i="1"/>
  <c r="J4372" i="1"/>
  <c r="I4372" i="1"/>
  <c r="H4372" i="1"/>
  <c r="G4372" i="1"/>
  <c r="F4372" i="1"/>
  <c r="J4371" i="1"/>
  <c r="I4378" i="1" s="1"/>
  <c r="I4371" i="1"/>
  <c r="H4371" i="1"/>
  <c r="G4371" i="1"/>
  <c r="F4371" i="1"/>
  <c r="AG4370" i="1"/>
  <c r="AF4370" i="1"/>
  <c r="AE4370" i="1"/>
  <c r="AD4370" i="1"/>
  <c r="AC4370" i="1"/>
  <c r="AB4370" i="1"/>
  <c r="E4370" i="1"/>
  <c r="D4370" i="1"/>
  <c r="C4370" i="1"/>
  <c r="B4370" i="1"/>
  <c r="K4369" i="1"/>
  <c r="K4368" i="1"/>
  <c r="H4368" i="1"/>
  <c r="G4368" i="1"/>
  <c r="E4368" i="1"/>
  <c r="J4367" i="1"/>
  <c r="E4367" i="1"/>
  <c r="J4366" i="1"/>
  <c r="E4366" i="1"/>
  <c r="J4365" i="1"/>
  <c r="E4365" i="1"/>
  <c r="J4364" i="1"/>
  <c r="I4364" i="1"/>
  <c r="H4364" i="1"/>
  <c r="G4364" i="1"/>
  <c r="F4364" i="1"/>
  <c r="J4363" i="1"/>
  <c r="I4363" i="1"/>
  <c r="H4363" i="1"/>
  <c r="G4363" i="1"/>
  <c r="F4363" i="1"/>
  <c r="J4362" i="1"/>
  <c r="I4369" i="1" s="1"/>
  <c r="AA4369" i="1" s="1"/>
  <c r="I4362" i="1"/>
  <c r="H4362" i="1"/>
  <c r="G4362" i="1"/>
  <c r="F4362" i="1"/>
  <c r="AG4361" i="1"/>
  <c r="AF4361" i="1"/>
  <c r="AE4361" i="1"/>
  <c r="AD4361" i="1"/>
  <c r="AC4361" i="1"/>
  <c r="AB4361" i="1"/>
  <c r="E4361" i="1"/>
  <c r="D4361" i="1"/>
  <c r="C4361" i="1"/>
  <c r="B4361" i="1"/>
  <c r="K4359" i="1"/>
  <c r="H4359" i="1"/>
  <c r="G4359" i="1"/>
  <c r="E4359" i="1"/>
  <c r="J4358" i="1"/>
  <c r="E4358" i="1"/>
  <c r="J4357" i="1"/>
  <c r="E4357" i="1"/>
  <c r="J4356" i="1"/>
  <c r="E4356" i="1"/>
  <c r="J4355" i="1"/>
  <c r="I4355" i="1"/>
  <c r="H4355" i="1"/>
  <c r="G4355" i="1"/>
  <c r="F4355" i="1"/>
  <c r="J4354" i="1"/>
  <c r="I4354" i="1"/>
  <c r="H4354" i="1"/>
  <c r="G4354" i="1"/>
  <c r="F4354" i="1"/>
  <c r="J4353" i="1"/>
  <c r="I4360" i="1" s="1"/>
  <c r="I4353" i="1"/>
  <c r="H4353" i="1"/>
  <c r="G4353" i="1"/>
  <c r="F4353" i="1"/>
  <c r="AG4352" i="1"/>
  <c r="AF4352" i="1"/>
  <c r="AE4352" i="1"/>
  <c r="AD4352" i="1"/>
  <c r="AC4352" i="1"/>
  <c r="AB4352" i="1"/>
  <c r="E4352" i="1"/>
  <c r="D4352" i="1"/>
  <c r="C4352" i="1"/>
  <c r="B4352" i="1"/>
  <c r="A4351" i="1"/>
  <c r="AQ4348" i="1"/>
  <c r="A4348" i="1"/>
  <c r="K4345" i="1"/>
  <c r="H4345" i="1"/>
  <c r="G4345" i="1"/>
  <c r="E4345" i="1"/>
  <c r="E4344" i="1"/>
  <c r="E4343" i="1"/>
  <c r="E4342" i="1"/>
  <c r="J4341" i="1"/>
  <c r="I4341" i="1"/>
  <c r="H4341" i="1"/>
  <c r="G4341" i="1"/>
  <c r="F4341" i="1"/>
  <c r="J4340" i="1"/>
  <c r="I4340" i="1"/>
  <c r="H4340" i="1"/>
  <c r="G4340" i="1"/>
  <c r="F4340" i="1"/>
  <c r="J4339" i="1"/>
  <c r="I4339" i="1"/>
  <c r="H4339" i="1"/>
  <c r="G4339" i="1"/>
  <c r="F4339" i="1"/>
  <c r="AG4338" i="1"/>
  <c r="J4344" i="1" s="1"/>
  <c r="AF4338" i="1"/>
  <c r="AE4338" i="1"/>
  <c r="J4343" i="1" s="1"/>
  <c r="AD4338" i="1"/>
  <c r="AC4338" i="1"/>
  <c r="J4342" i="1" s="1"/>
  <c r="AB4338" i="1"/>
  <c r="E4338" i="1"/>
  <c r="D4338" i="1"/>
  <c r="C4338" i="1"/>
  <c r="B4338" i="1"/>
  <c r="I4337" i="1"/>
  <c r="K4336" i="1"/>
  <c r="H4336" i="1"/>
  <c r="G4336" i="1"/>
  <c r="E4336" i="1"/>
  <c r="E4335" i="1"/>
  <c r="E4334" i="1"/>
  <c r="E4333" i="1"/>
  <c r="J4332" i="1"/>
  <c r="I4332" i="1"/>
  <c r="H4332" i="1"/>
  <c r="G4332" i="1"/>
  <c r="F4332" i="1"/>
  <c r="J4331" i="1"/>
  <c r="I4331" i="1"/>
  <c r="H4331" i="1"/>
  <c r="G4331" i="1"/>
  <c r="F4331" i="1"/>
  <c r="J4330" i="1"/>
  <c r="I4330" i="1"/>
  <c r="H4330" i="1"/>
  <c r="G4330" i="1"/>
  <c r="F4330" i="1"/>
  <c r="AG4329" i="1"/>
  <c r="J4335" i="1" s="1"/>
  <c r="AF4329" i="1"/>
  <c r="AE4329" i="1"/>
  <c r="J4334" i="1" s="1"/>
  <c r="AD4329" i="1"/>
  <c r="AC4329" i="1"/>
  <c r="J4333" i="1" s="1"/>
  <c r="AB4329" i="1"/>
  <c r="E4329" i="1"/>
  <c r="D4329" i="1"/>
  <c r="C4329" i="1"/>
  <c r="B4329" i="1"/>
  <c r="K4327" i="1"/>
  <c r="H4327" i="1"/>
  <c r="G4327" i="1"/>
  <c r="E4327" i="1"/>
  <c r="E4326" i="1"/>
  <c r="E4325" i="1"/>
  <c r="E4324" i="1"/>
  <c r="J4323" i="1"/>
  <c r="I4323" i="1"/>
  <c r="H4323" i="1"/>
  <c r="G4323" i="1"/>
  <c r="F4323" i="1"/>
  <c r="J4322" i="1"/>
  <c r="I4322" i="1"/>
  <c r="H4322" i="1"/>
  <c r="G4322" i="1"/>
  <c r="F4322" i="1"/>
  <c r="J4321" i="1"/>
  <c r="I4321" i="1"/>
  <c r="H4321" i="1"/>
  <c r="G4321" i="1"/>
  <c r="F4321" i="1"/>
  <c r="AG4320" i="1"/>
  <c r="J4326" i="1" s="1"/>
  <c r="AF4320" i="1"/>
  <c r="AE4320" i="1"/>
  <c r="J4325" i="1" s="1"/>
  <c r="AD4320" i="1"/>
  <c r="AC4320" i="1"/>
  <c r="J4324" i="1" s="1"/>
  <c r="AB4320" i="1"/>
  <c r="E4320" i="1"/>
  <c r="D4320" i="1"/>
  <c r="C4320" i="1"/>
  <c r="B4320" i="1"/>
  <c r="K4318" i="1"/>
  <c r="H4318" i="1"/>
  <c r="G4318" i="1"/>
  <c r="E4318" i="1"/>
  <c r="E4317" i="1"/>
  <c r="E4316" i="1"/>
  <c r="E4315" i="1"/>
  <c r="J4314" i="1"/>
  <c r="I4314" i="1"/>
  <c r="H4314" i="1"/>
  <c r="G4314" i="1"/>
  <c r="F4314" i="1"/>
  <c r="J4313" i="1"/>
  <c r="I4313" i="1"/>
  <c r="H4313" i="1"/>
  <c r="G4313" i="1"/>
  <c r="F4313" i="1"/>
  <c r="J4312" i="1"/>
  <c r="I4312" i="1"/>
  <c r="H4312" i="1"/>
  <c r="G4312" i="1"/>
  <c r="F4312" i="1"/>
  <c r="AG4311" i="1"/>
  <c r="J4317" i="1" s="1"/>
  <c r="AF4311" i="1"/>
  <c r="AE4311" i="1"/>
  <c r="J4316" i="1" s="1"/>
  <c r="AD4311" i="1"/>
  <c r="AC4311" i="1"/>
  <c r="J4315" i="1" s="1"/>
  <c r="I4319" i="1" s="1"/>
  <c r="AB4311" i="1"/>
  <c r="E4311" i="1"/>
  <c r="D4311" i="1"/>
  <c r="C4311" i="1"/>
  <c r="B4311" i="1"/>
  <c r="K4309" i="1"/>
  <c r="H4309" i="1"/>
  <c r="G4309" i="1"/>
  <c r="E4309" i="1"/>
  <c r="E4308" i="1"/>
  <c r="E4307" i="1"/>
  <c r="E4306" i="1"/>
  <c r="J4305" i="1"/>
  <c r="I4305" i="1"/>
  <c r="H4305" i="1"/>
  <c r="G4305" i="1"/>
  <c r="F4305" i="1"/>
  <c r="J4304" i="1"/>
  <c r="I4304" i="1"/>
  <c r="H4304" i="1"/>
  <c r="G4304" i="1"/>
  <c r="F4304" i="1"/>
  <c r="J4303" i="1"/>
  <c r="I4303" i="1"/>
  <c r="H4303" i="1"/>
  <c r="G4303" i="1"/>
  <c r="F4303" i="1"/>
  <c r="AG4302" i="1"/>
  <c r="J4308" i="1" s="1"/>
  <c r="AF4302" i="1"/>
  <c r="AE4302" i="1"/>
  <c r="J4307" i="1" s="1"/>
  <c r="AD4302" i="1"/>
  <c r="AC4302" i="1"/>
  <c r="J4306" i="1" s="1"/>
  <c r="AB4302" i="1"/>
  <c r="E4302" i="1"/>
  <c r="D4302" i="1"/>
  <c r="C4302" i="1"/>
  <c r="B4302" i="1"/>
  <c r="I4301" i="1"/>
  <c r="K4300" i="1"/>
  <c r="H4300" i="1"/>
  <c r="G4300" i="1"/>
  <c r="E4300" i="1"/>
  <c r="E4299" i="1"/>
  <c r="E4298" i="1"/>
  <c r="E4297" i="1"/>
  <c r="J4296" i="1"/>
  <c r="I4296" i="1"/>
  <c r="H4296" i="1"/>
  <c r="G4296" i="1"/>
  <c r="F4296" i="1"/>
  <c r="J4295" i="1"/>
  <c r="I4295" i="1"/>
  <c r="H4295" i="1"/>
  <c r="G4295" i="1"/>
  <c r="F4295" i="1"/>
  <c r="J4294" i="1"/>
  <c r="I4294" i="1"/>
  <c r="H4294" i="1"/>
  <c r="G4294" i="1"/>
  <c r="F4294" i="1"/>
  <c r="AG4293" i="1"/>
  <c r="J4299" i="1" s="1"/>
  <c r="AF4293" i="1"/>
  <c r="AE4293" i="1"/>
  <c r="J4298" i="1" s="1"/>
  <c r="AD4293" i="1"/>
  <c r="AC4293" i="1"/>
  <c r="J4297" i="1" s="1"/>
  <c r="AB4293" i="1"/>
  <c r="E4293" i="1"/>
  <c r="D4293" i="1"/>
  <c r="C4293" i="1"/>
  <c r="B4293" i="1"/>
  <c r="K4291" i="1"/>
  <c r="H4291" i="1"/>
  <c r="G4291" i="1"/>
  <c r="E4291" i="1"/>
  <c r="E4290" i="1"/>
  <c r="E4289" i="1"/>
  <c r="E4288" i="1"/>
  <c r="J4287" i="1"/>
  <c r="I4287" i="1"/>
  <c r="H4287" i="1"/>
  <c r="G4287" i="1"/>
  <c r="F4287" i="1"/>
  <c r="J4286" i="1"/>
  <c r="I4286" i="1"/>
  <c r="H4286" i="1"/>
  <c r="G4286" i="1"/>
  <c r="F4286" i="1"/>
  <c r="J4285" i="1"/>
  <c r="I4285" i="1"/>
  <c r="H4285" i="1"/>
  <c r="G4285" i="1"/>
  <c r="F4285" i="1"/>
  <c r="AG4284" i="1"/>
  <c r="J4290" i="1" s="1"/>
  <c r="AF4284" i="1"/>
  <c r="AE4284" i="1"/>
  <c r="J4289" i="1" s="1"/>
  <c r="AD4284" i="1"/>
  <c r="AC4284" i="1"/>
  <c r="J4288" i="1" s="1"/>
  <c r="AB4284" i="1"/>
  <c r="E4284" i="1"/>
  <c r="D4284" i="1"/>
  <c r="C4284" i="1"/>
  <c r="B4284" i="1"/>
  <c r="K4282" i="1"/>
  <c r="H4282" i="1"/>
  <c r="G4282" i="1"/>
  <c r="E4282" i="1"/>
  <c r="E4281" i="1"/>
  <c r="E4280" i="1"/>
  <c r="E4279" i="1"/>
  <c r="J4278" i="1"/>
  <c r="I4278" i="1"/>
  <c r="H4278" i="1"/>
  <c r="G4278" i="1"/>
  <c r="F4278" i="1"/>
  <c r="J4277" i="1"/>
  <c r="I4277" i="1"/>
  <c r="H4277" i="1"/>
  <c r="G4277" i="1"/>
  <c r="F4277" i="1"/>
  <c r="J4276" i="1"/>
  <c r="I4276" i="1"/>
  <c r="H4276" i="1"/>
  <c r="G4276" i="1"/>
  <c r="F4276" i="1"/>
  <c r="AG4275" i="1"/>
  <c r="J4281" i="1" s="1"/>
  <c r="AF4275" i="1"/>
  <c r="AE4275" i="1"/>
  <c r="J4280" i="1" s="1"/>
  <c r="AD4275" i="1"/>
  <c r="AC4275" i="1"/>
  <c r="J4279" i="1" s="1"/>
  <c r="I4283" i="1" s="1"/>
  <c r="AB4275" i="1"/>
  <c r="E4275" i="1"/>
  <c r="D4275" i="1"/>
  <c r="C4275" i="1"/>
  <c r="B4275" i="1"/>
  <c r="A4274" i="1"/>
  <c r="A4271" i="1"/>
  <c r="A4268" i="1"/>
  <c r="K4265" i="1"/>
  <c r="H4265" i="1"/>
  <c r="G4265" i="1"/>
  <c r="E4265" i="1"/>
  <c r="J4264" i="1"/>
  <c r="E4264" i="1"/>
  <c r="J4263" i="1"/>
  <c r="E4263" i="1"/>
  <c r="J4262" i="1"/>
  <c r="I4262" i="1"/>
  <c r="H4262" i="1"/>
  <c r="G4262" i="1"/>
  <c r="F4262" i="1"/>
  <c r="J4261" i="1"/>
  <c r="I4261" i="1"/>
  <c r="H4261" i="1"/>
  <c r="G4261" i="1"/>
  <c r="F4261" i="1"/>
  <c r="C4260" i="1"/>
  <c r="AG4259" i="1"/>
  <c r="AF4259" i="1"/>
  <c r="AE4259" i="1"/>
  <c r="AD4259" i="1"/>
  <c r="AC4259" i="1"/>
  <c r="AB4259" i="1"/>
  <c r="E4259" i="1"/>
  <c r="D4259" i="1"/>
  <c r="C4259" i="1"/>
  <c r="B4259" i="1"/>
  <c r="K4258" i="1"/>
  <c r="AG4257" i="1"/>
  <c r="AF4257" i="1"/>
  <c r="AE4257" i="1"/>
  <c r="AD4257" i="1"/>
  <c r="AC4257" i="1"/>
  <c r="AB4257" i="1"/>
  <c r="J4257" i="1"/>
  <c r="I4257" i="1"/>
  <c r="H4257" i="1"/>
  <c r="F4257" i="1"/>
  <c r="E4257" i="1"/>
  <c r="D4257" i="1"/>
  <c r="C4257" i="1"/>
  <c r="B4257" i="1"/>
  <c r="J4256" i="1"/>
  <c r="I4258" i="1" s="1"/>
  <c r="AA4258" i="1" s="1"/>
  <c r="I4256" i="1"/>
  <c r="H4256" i="1"/>
  <c r="G4256" i="1"/>
  <c r="F4256" i="1"/>
  <c r="AG4255" i="1"/>
  <c r="AF4255" i="1"/>
  <c r="AE4255" i="1"/>
  <c r="AD4255" i="1"/>
  <c r="AC4255" i="1"/>
  <c r="AB4255" i="1"/>
  <c r="E4255" i="1"/>
  <c r="D4255" i="1"/>
  <c r="C4255" i="1"/>
  <c r="B4255" i="1"/>
  <c r="K4253" i="1"/>
  <c r="H4253" i="1"/>
  <c r="G4253" i="1"/>
  <c r="E4253" i="1"/>
  <c r="E4252" i="1"/>
  <c r="E4251" i="1"/>
  <c r="J4250" i="1"/>
  <c r="I4250" i="1"/>
  <c r="H4250" i="1"/>
  <c r="G4250" i="1"/>
  <c r="F4250" i="1"/>
  <c r="C4249" i="1"/>
  <c r="AG4248" i="1"/>
  <c r="AF4248" i="1"/>
  <c r="AE4248" i="1"/>
  <c r="J4252" i="1" s="1"/>
  <c r="AD4248" i="1"/>
  <c r="AC4248" i="1"/>
  <c r="J4251" i="1" s="1"/>
  <c r="AB4248" i="1"/>
  <c r="E4248" i="1"/>
  <c r="D4248" i="1"/>
  <c r="C4248" i="1"/>
  <c r="B4248" i="1"/>
  <c r="K4246" i="1"/>
  <c r="H4246" i="1"/>
  <c r="G4246" i="1"/>
  <c r="E4246" i="1"/>
  <c r="E4245" i="1"/>
  <c r="E4244" i="1"/>
  <c r="J4243" i="1"/>
  <c r="I4243" i="1"/>
  <c r="H4243" i="1"/>
  <c r="G4243" i="1"/>
  <c r="F4243" i="1"/>
  <c r="C4242" i="1"/>
  <c r="AG4241" i="1"/>
  <c r="AF4241" i="1"/>
  <c r="AE4241" i="1"/>
  <c r="J4245" i="1" s="1"/>
  <c r="I4247" i="1" s="1"/>
  <c r="AD4241" i="1"/>
  <c r="AC4241" i="1"/>
  <c r="J4244" i="1" s="1"/>
  <c r="AB4241" i="1"/>
  <c r="E4241" i="1"/>
  <c r="D4241" i="1"/>
  <c r="C4241" i="1"/>
  <c r="B4241" i="1"/>
  <c r="K4239" i="1"/>
  <c r="H4239" i="1"/>
  <c r="G4239" i="1"/>
  <c r="E4239" i="1"/>
  <c r="J4238" i="1"/>
  <c r="E4238" i="1"/>
  <c r="E4237" i="1"/>
  <c r="J4236" i="1"/>
  <c r="I4236" i="1"/>
  <c r="H4236" i="1"/>
  <c r="G4236" i="1"/>
  <c r="F4236" i="1"/>
  <c r="C4235" i="1"/>
  <c r="AG4234" i="1"/>
  <c r="AF4234" i="1"/>
  <c r="AE4234" i="1"/>
  <c r="AD4234" i="1"/>
  <c r="AC4234" i="1"/>
  <c r="J4237" i="1" s="1"/>
  <c r="AB4234" i="1"/>
  <c r="E4234" i="1"/>
  <c r="D4234" i="1"/>
  <c r="C4234" i="1"/>
  <c r="B4234" i="1"/>
  <c r="K4232" i="1"/>
  <c r="H4232" i="1"/>
  <c r="G4232" i="1"/>
  <c r="E4232" i="1"/>
  <c r="E4231" i="1"/>
  <c r="E4230" i="1"/>
  <c r="J4229" i="1"/>
  <c r="I4229" i="1"/>
  <c r="H4229" i="1"/>
  <c r="G4229" i="1"/>
  <c r="F4229" i="1"/>
  <c r="C4228" i="1"/>
  <c r="AG4227" i="1"/>
  <c r="AF4227" i="1"/>
  <c r="AE4227" i="1"/>
  <c r="J4231" i="1" s="1"/>
  <c r="AD4227" i="1"/>
  <c r="AC4227" i="1"/>
  <c r="J4230" i="1" s="1"/>
  <c r="I4233" i="1" s="1"/>
  <c r="K4233" i="1" s="1"/>
  <c r="AB4227" i="1"/>
  <c r="E4227" i="1"/>
  <c r="D4227" i="1"/>
  <c r="C4227" i="1"/>
  <c r="B4227" i="1"/>
  <c r="K4225" i="1"/>
  <c r="H4225" i="1"/>
  <c r="G4225" i="1"/>
  <c r="E4225" i="1"/>
  <c r="E4224" i="1"/>
  <c r="E4223" i="1"/>
  <c r="J4222" i="1"/>
  <c r="I4222" i="1"/>
  <c r="H4222" i="1"/>
  <c r="G4222" i="1"/>
  <c r="F4222" i="1"/>
  <c r="C4221" i="1"/>
  <c r="AG4220" i="1"/>
  <c r="AF4220" i="1"/>
  <c r="AE4220" i="1"/>
  <c r="J4224" i="1" s="1"/>
  <c r="AD4220" i="1"/>
  <c r="AC4220" i="1"/>
  <c r="J4223" i="1" s="1"/>
  <c r="AB4220" i="1"/>
  <c r="E4220" i="1"/>
  <c r="D4220" i="1"/>
  <c r="C4220" i="1"/>
  <c r="B4220" i="1"/>
  <c r="I4219" i="1"/>
  <c r="J4218" i="1"/>
  <c r="I4218" i="1"/>
  <c r="H4218" i="1"/>
  <c r="G4218" i="1"/>
  <c r="F4218" i="1"/>
  <c r="AG4217" i="1"/>
  <c r="AF4217" i="1"/>
  <c r="AE4217" i="1"/>
  <c r="AD4217" i="1"/>
  <c r="AC4217" i="1"/>
  <c r="AB4217" i="1"/>
  <c r="E4217" i="1"/>
  <c r="D4217" i="1"/>
  <c r="C4217" i="1"/>
  <c r="B4217" i="1"/>
  <c r="A4216" i="1"/>
  <c r="A4213" i="1"/>
  <c r="K4210" i="1"/>
  <c r="H4210" i="1"/>
  <c r="G4210" i="1"/>
  <c r="E4210" i="1"/>
  <c r="E4209" i="1"/>
  <c r="E4208" i="1"/>
  <c r="J4207" i="1"/>
  <c r="I4207" i="1"/>
  <c r="H4207" i="1"/>
  <c r="G4207" i="1"/>
  <c r="F4207" i="1"/>
  <c r="C4206" i="1"/>
  <c r="AG4205" i="1"/>
  <c r="AF4205" i="1"/>
  <c r="AE4205" i="1"/>
  <c r="J4209" i="1" s="1"/>
  <c r="AD4205" i="1"/>
  <c r="AC4205" i="1"/>
  <c r="J4208" i="1" s="1"/>
  <c r="AB4205" i="1"/>
  <c r="E4205" i="1"/>
  <c r="D4205" i="1"/>
  <c r="C4205" i="1"/>
  <c r="B4205" i="1"/>
  <c r="K4204" i="1"/>
  <c r="J4203" i="1"/>
  <c r="I4204" i="1" s="1"/>
  <c r="AA4204" i="1" s="1"/>
  <c r="I4203" i="1"/>
  <c r="H4203" i="1"/>
  <c r="G4203" i="1"/>
  <c r="F4203" i="1"/>
  <c r="AG4202" i="1"/>
  <c r="AF4202" i="1"/>
  <c r="AE4202" i="1"/>
  <c r="AD4202" i="1"/>
  <c r="AC4202" i="1"/>
  <c r="AB4202" i="1"/>
  <c r="E4202" i="1"/>
  <c r="D4202" i="1"/>
  <c r="C4202" i="1"/>
  <c r="B4202" i="1"/>
  <c r="A4201" i="1"/>
  <c r="A4198" i="1"/>
  <c r="K4195" i="1"/>
  <c r="H4195" i="1"/>
  <c r="G4195" i="1"/>
  <c r="E4195" i="1"/>
  <c r="J4194" i="1"/>
  <c r="E4194" i="1"/>
  <c r="J4193" i="1"/>
  <c r="E4193" i="1"/>
  <c r="J4192" i="1"/>
  <c r="I4192" i="1"/>
  <c r="H4192" i="1"/>
  <c r="G4192" i="1"/>
  <c r="F4192" i="1"/>
  <c r="J4191" i="1"/>
  <c r="I4196" i="1" s="1"/>
  <c r="I4191" i="1"/>
  <c r="H4191" i="1"/>
  <c r="G4191" i="1"/>
  <c r="F4191" i="1"/>
  <c r="C4190" i="1"/>
  <c r="AG4189" i="1"/>
  <c r="AF4189" i="1"/>
  <c r="AE4189" i="1"/>
  <c r="AD4189" i="1"/>
  <c r="AC4189" i="1"/>
  <c r="AB4189" i="1"/>
  <c r="E4189" i="1"/>
  <c r="D4189" i="1"/>
  <c r="C4189" i="1"/>
  <c r="B4189" i="1"/>
  <c r="AG4187" i="1"/>
  <c r="AF4187" i="1"/>
  <c r="AE4187" i="1"/>
  <c r="AD4187" i="1"/>
  <c r="AC4187" i="1"/>
  <c r="AB4187" i="1"/>
  <c r="J4187" i="1"/>
  <c r="I4187" i="1"/>
  <c r="H4187" i="1"/>
  <c r="F4187" i="1"/>
  <c r="E4187" i="1"/>
  <c r="D4187" i="1"/>
  <c r="C4187" i="1"/>
  <c r="B4187" i="1"/>
  <c r="J4186" i="1"/>
  <c r="I4188" i="1" s="1"/>
  <c r="I4186" i="1"/>
  <c r="H4186" i="1"/>
  <c r="G4186" i="1"/>
  <c r="F4186" i="1"/>
  <c r="AG4185" i="1"/>
  <c r="AF4185" i="1"/>
  <c r="AE4185" i="1"/>
  <c r="AD4185" i="1"/>
  <c r="AC4185" i="1"/>
  <c r="AB4185" i="1"/>
  <c r="E4185" i="1"/>
  <c r="D4185" i="1"/>
  <c r="C4185" i="1"/>
  <c r="B4185" i="1"/>
  <c r="K4183" i="1"/>
  <c r="H4183" i="1"/>
  <c r="G4183" i="1"/>
  <c r="E4183" i="1"/>
  <c r="E4182" i="1"/>
  <c r="E4181" i="1"/>
  <c r="J4180" i="1"/>
  <c r="I4180" i="1"/>
  <c r="H4180" i="1"/>
  <c r="G4180" i="1"/>
  <c r="F4180" i="1"/>
  <c r="C4179" i="1"/>
  <c r="AG4178" i="1"/>
  <c r="AF4178" i="1"/>
  <c r="AE4178" i="1"/>
  <c r="J4182" i="1" s="1"/>
  <c r="AD4178" i="1"/>
  <c r="AC4178" i="1"/>
  <c r="J4181" i="1" s="1"/>
  <c r="AB4178" i="1"/>
  <c r="E4178" i="1"/>
  <c r="D4178" i="1"/>
  <c r="C4178" i="1"/>
  <c r="B4178" i="1"/>
  <c r="K4176" i="1"/>
  <c r="H4176" i="1"/>
  <c r="G4176" i="1"/>
  <c r="E4176" i="1"/>
  <c r="E4175" i="1"/>
  <c r="E4174" i="1"/>
  <c r="E4173" i="1"/>
  <c r="J4172" i="1"/>
  <c r="I4172" i="1"/>
  <c r="H4172" i="1"/>
  <c r="G4172" i="1"/>
  <c r="F4172" i="1"/>
  <c r="J4171" i="1"/>
  <c r="I4171" i="1"/>
  <c r="H4171" i="1"/>
  <c r="G4171" i="1"/>
  <c r="F4171" i="1"/>
  <c r="J4170" i="1"/>
  <c r="I4170" i="1"/>
  <c r="H4170" i="1"/>
  <c r="G4170" i="1"/>
  <c r="F4170" i="1"/>
  <c r="C4169" i="1"/>
  <c r="AG4168" i="1"/>
  <c r="J4175" i="1" s="1"/>
  <c r="AF4168" i="1"/>
  <c r="AE4168" i="1"/>
  <c r="J4174" i="1" s="1"/>
  <c r="AD4168" i="1"/>
  <c r="AC4168" i="1"/>
  <c r="J4173" i="1" s="1"/>
  <c r="AB4168" i="1"/>
  <c r="E4168" i="1"/>
  <c r="D4168" i="1"/>
  <c r="C4168" i="1"/>
  <c r="B4168" i="1"/>
  <c r="K4166" i="1"/>
  <c r="H4166" i="1"/>
  <c r="G4166" i="1"/>
  <c r="E4166" i="1"/>
  <c r="E4165" i="1"/>
  <c r="E4164" i="1"/>
  <c r="J4163" i="1"/>
  <c r="I4163" i="1"/>
  <c r="H4163" i="1"/>
  <c r="G4163" i="1"/>
  <c r="F4163" i="1"/>
  <c r="C4162" i="1"/>
  <c r="AG4161" i="1"/>
  <c r="AF4161" i="1"/>
  <c r="AE4161" i="1"/>
  <c r="J4165" i="1" s="1"/>
  <c r="AD4161" i="1"/>
  <c r="AC4161" i="1"/>
  <c r="J4164" i="1" s="1"/>
  <c r="AB4161" i="1"/>
  <c r="E4161" i="1"/>
  <c r="D4161" i="1"/>
  <c r="C4161" i="1"/>
  <c r="B4161" i="1"/>
  <c r="K4159" i="1"/>
  <c r="H4159" i="1"/>
  <c r="G4159" i="1"/>
  <c r="E4159" i="1"/>
  <c r="E4158" i="1"/>
  <c r="E4157" i="1"/>
  <c r="J4156" i="1"/>
  <c r="I4156" i="1"/>
  <c r="H4156" i="1"/>
  <c r="G4156" i="1"/>
  <c r="F4156" i="1"/>
  <c r="C4155" i="1"/>
  <c r="AG4154" i="1"/>
  <c r="AF4154" i="1"/>
  <c r="AE4154" i="1"/>
  <c r="J4158" i="1" s="1"/>
  <c r="AD4154" i="1"/>
  <c r="AC4154" i="1"/>
  <c r="J4157" i="1" s="1"/>
  <c r="I4160" i="1" s="1"/>
  <c r="AB4154" i="1"/>
  <c r="E4154" i="1"/>
  <c r="D4154" i="1"/>
  <c r="C4154" i="1"/>
  <c r="B4154" i="1"/>
  <c r="K4152" i="1"/>
  <c r="H4152" i="1"/>
  <c r="G4152" i="1"/>
  <c r="E4152" i="1"/>
  <c r="E4151" i="1"/>
  <c r="E4150" i="1"/>
  <c r="J4149" i="1"/>
  <c r="I4149" i="1"/>
  <c r="H4149" i="1"/>
  <c r="G4149" i="1"/>
  <c r="F4149" i="1"/>
  <c r="C4148" i="1"/>
  <c r="AG4147" i="1"/>
  <c r="AF4147" i="1"/>
  <c r="AE4147" i="1"/>
  <c r="J4151" i="1" s="1"/>
  <c r="AD4147" i="1"/>
  <c r="AC4147" i="1"/>
  <c r="J4150" i="1" s="1"/>
  <c r="AB4147" i="1"/>
  <c r="E4147" i="1"/>
  <c r="D4147" i="1"/>
  <c r="C4147" i="1"/>
  <c r="B4147" i="1"/>
  <c r="AA4146" i="1"/>
  <c r="K4145" i="1"/>
  <c r="H4145" i="1"/>
  <c r="G4145" i="1"/>
  <c r="E4145" i="1"/>
  <c r="E4144" i="1"/>
  <c r="E4143" i="1"/>
  <c r="J4142" i="1"/>
  <c r="I4142" i="1"/>
  <c r="H4142" i="1"/>
  <c r="G4142" i="1"/>
  <c r="F4142" i="1"/>
  <c r="C4141" i="1"/>
  <c r="AG4140" i="1"/>
  <c r="AF4140" i="1"/>
  <c r="AE4140" i="1"/>
  <c r="J4144" i="1" s="1"/>
  <c r="AD4140" i="1"/>
  <c r="AC4140" i="1"/>
  <c r="J4143" i="1" s="1"/>
  <c r="I4146" i="1" s="1"/>
  <c r="K4146" i="1" s="1"/>
  <c r="AB4140" i="1"/>
  <c r="E4140" i="1"/>
  <c r="D4140" i="1"/>
  <c r="C4140" i="1"/>
  <c r="B4140" i="1"/>
  <c r="J4138" i="1"/>
  <c r="I4139" i="1" s="1"/>
  <c r="AA4139" i="1" s="1"/>
  <c r="I4138" i="1"/>
  <c r="H4138" i="1"/>
  <c r="G4138" i="1"/>
  <c r="F4138" i="1"/>
  <c r="AG4137" i="1"/>
  <c r="AF4137" i="1"/>
  <c r="AE4137" i="1"/>
  <c r="AD4137" i="1"/>
  <c r="AC4137" i="1"/>
  <c r="AB4137" i="1"/>
  <c r="E4137" i="1"/>
  <c r="D4137" i="1"/>
  <c r="C4137" i="1"/>
  <c r="B4137" i="1"/>
  <c r="A4136" i="1"/>
  <c r="A4134" i="1"/>
  <c r="AQ4131" i="1"/>
  <c r="A4131" i="1"/>
  <c r="A4128" i="1"/>
  <c r="I4126" i="1"/>
  <c r="J4125" i="1"/>
  <c r="I4125" i="1"/>
  <c r="H4125" i="1"/>
  <c r="G4125" i="1"/>
  <c r="F4125" i="1"/>
  <c r="AG4124" i="1"/>
  <c r="AF4124" i="1"/>
  <c r="AE4124" i="1"/>
  <c r="AD4124" i="1"/>
  <c r="AC4124" i="1"/>
  <c r="AB4124" i="1"/>
  <c r="E4124" i="1"/>
  <c r="D4124" i="1"/>
  <c r="C4124" i="1"/>
  <c r="B4124" i="1"/>
  <c r="A4123" i="1"/>
  <c r="A4120" i="1"/>
  <c r="AA4118" i="1"/>
  <c r="I4118" i="1"/>
  <c r="K4118" i="1" s="1"/>
  <c r="AG4117" i="1"/>
  <c r="AF4117" i="1"/>
  <c r="AE4117" i="1"/>
  <c r="AD4117" i="1"/>
  <c r="AC4117" i="1"/>
  <c r="AB4117" i="1"/>
  <c r="J4117" i="1"/>
  <c r="I4117" i="1"/>
  <c r="H4117" i="1"/>
  <c r="F4117" i="1"/>
  <c r="E4117" i="1"/>
  <c r="D4117" i="1"/>
  <c r="C4117" i="1"/>
  <c r="B4117" i="1"/>
  <c r="J4116" i="1"/>
  <c r="I4116" i="1"/>
  <c r="H4116" i="1"/>
  <c r="G4116" i="1"/>
  <c r="F4116" i="1"/>
  <c r="AG4115" i="1"/>
  <c r="AF4115" i="1"/>
  <c r="AE4115" i="1"/>
  <c r="AD4115" i="1"/>
  <c r="AC4115" i="1"/>
  <c r="AB4115" i="1"/>
  <c r="E4115" i="1"/>
  <c r="D4115" i="1"/>
  <c r="C4115" i="1"/>
  <c r="B4115" i="1"/>
  <c r="K4113" i="1"/>
  <c r="H4113" i="1"/>
  <c r="G4113" i="1"/>
  <c r="E4113" i="1"/>
  <c r="E4112" i="1"/>
  <c r="E4111" i="1"/>
  <c r="J4110" i="1"/>
  <c r="I4110" i="1"/>
  <c r="H4110" i="1"/>
  <c r="G4110" i="1"/>
  <c r="F4110" i="1"/>
  <c r="C4109" i="1"/>
  <c r="AG4108" i="1"/>
  <c r="AF4108" i="1"/>
  <c r="AE4108" i="1"/>
  <c r="J4112" i="1" s="1"/>
  <c r="AD4108" i="1"/>
  <c r="AC4108" i="1"/>
  <c r="J4111" i="1" s="1"/>
  <c r="AB4108" i="1"/>
  <c r="E4108" i="1"/>
  <c r="D4108" i="1"/>
  <c r="C4108" i="1"/>
  <c r="B4108" i="1"/>
  <c r="K4106" i="1"/>
  <c r="H4106" i="1"/>
  <c r="G4106" i="1"/>
  <c r="E4106" i="1"/>
  <c r="E4105" i="1"/>
  <c r="E4104" i="1"/>
  <c r="J4103" i="1"/>
  <c r="I4103" i="1"/>
  <c r="H4103" i="1"/>
  <c r="G4103" i="1"/>
  <c r="F4103" i="1"/>
  <c r="C4102" i="1"/>
  <c r="AG4101" i="1"/>
  <c r="AF4101" i="1"/>
  <c r="AE4101" i="1"/>
  <c r="J4105" i="1" s="1"/>
  <c r="AD4101" i="1"/>
  <c r="AC4101" i="1"/>
  <c r="J4104" i="1" s="1"/>
  <c r="AB4101" i="1"/>
  <c r="E4101" i="1"/>
  <c r="D4101" i="1"/>
  <c r="C4101" i="1"/>
  <c r="B4101" i="1"/>
  <c r="I4100" i="1"/>
  <c r="J4099" i="1"/>
  <c r="I4099" i="1"/>
  <c r="H4099" i="1"/>
  <c r="G4099" i="1"/>
  <c r="F4099" i="1"/>
  <c r="AG4098" i="1"/>
  <c r="AF4098" i="1"/>
  <c r="AE4098" i="1"/>
  <c r="AD4098" i="1"/>
  <c r="AC4098" i="1"/>
  <c r="AB4098" i="1"/>
  <c r="E4098" i="1"/>
  <c r="D4098" i="1"/>
  <c r="C4098" i="1"/>
  <c r="B4098" i="1"/>
  <c r="A4097" i="1"/>
  <c r="A4094" i="1"/>
  <c r="K4091" i="1"/>
  <c r="H4091" i="1"/>
  <c r="G4091" i="1"/>
  <c r="E4091" i="1"/>
  <c r="E4090" i="1"/>
  <c r="J4089" i="1"/>
  <c r="E4089" i="1"/>
  <c r="J4088" i="1"/>
  <c r="I4088" i="1"/>
  <c r="H4088" i="1"/>
  <c r="G4088" i="1"/>
  <c r="F4088" i="1"/>
  <c r="J4087" i="1"/>
  <c r="I4087" i="1"/>
  <c r="H4087" i="1"/>
  <c r="G4087" i="1"/>
  <c r="F4087" i="1"/>
  <c r="C4086" i="1"/>
  <c r="AG4085" i="1"/>
  <c r="AF4085" i="1"/>
  <c r="AE4085" i="1"/>
  <c r="J4090" i="1" s="1"/>
  <c r="AD4085" i="1"/>
  <c r="AC4085" i="1"/>
  <c r="AB4085" i="1"/>
  <c r="E4085" i="1"/>
  <c r="D4085" i="1"/>
  <c r="C4085" i="1"/>
  <c r="B4085" i="1"/>
  <c r="AG4083" i="1"/>
  <c r="AF4083" i="1"/>
  <c r="AE4083" i="1"/>
  <c r="AD4083" i="1"/>
  <c r="AC4083" i="1"/>
  <c r="AB4083" i="1"/>
  <c r="J4083" i="1"/>
  <c r="I4083" i="1"/>
  <c r="H4083" i="1"/>
  <c r="F4083" i="1"/>
  <c r="E4083" i="1"/>
  <c r="D4083" i="1"/>
  <c r="C4083" i="1"/>
  <c r="B4083" i="1"/>
  <c r="J4082" i="1"/>
  <c r="I4084" i="1" s="1"/>
  <c r="I4082" i="1"/>
  <c r="H4082" i="1"/>
  <c r="G4082" i="1"/>
  <c r="F4082" i="1"/>
  <c r="AG4081" i="1"/>
  <c r="AF4081" i="1"/>
  <c r="AE4081" i="1"/>
  <c r="AD4081" i="1"/>
  <c r="AC4081" i="1"/>
  <c r="AB4081" i="1"/>
  <c r="E4081" i="1"/>
  <c r="D4081" i="1"/>
  <c r="C4081" i="1"/>
  <c r="B4081" i="1"/>
  <c r="K4079" i="1"/>
  <c r="H4079" i="1"/>
  <c r="G4079" i="1"/>
  <c r="E4079" i="1"/>
  <c r="E4078" i="1"/>
  <c r="E4077" i="1"/>
  <c r="J4076" i="1"/>
  <c r="I4076" i="1"/>
  <c r="H4076" i="1"/>
  <c r="G4076" i="1"/>
  <c r="F4076" i="1"/>
  <c r="C4075" i="1"/>
  <c r="AG4074" i="1"/>
  <c r="AF4074" i="1"/>
  <c r="AE4074" i="1"/>
  <c r="J4078" i="1" s="1"/>
  <c r="AD4074" i="1"/>
  <c r="AC4074" i="1"/>
  <c r="J4077" i="1" s="1"/>
  <c r="AB4074" i="1"/>
  <c r="E4074" i="1"/>
  <c r="D4074" i="1"/>
  <c r="C4074" i="1"/>
  <c r="B4074" i="1"/>
  <c r="K4072" i="1"/>
  <c r="H4072" i="1"/>
  <c r="G4072" i="1"/>
  <c r="E4072" i="1"/>
  <c r="E4071" i="1"/>
  <c r="J4070" i="1"/>
  <c r="E4070" i="1"/>
  <c r="E4069" i="1"/>
  <c r="J4068" i="1"/>
  <c r="I4068" i="1"/>
  <c r="H4068" i="1"/>
  <c r="G4068" i="1"/>
  <c r="F4068" i="1"/>
  <c r="J4067" i="1"/>
  <c r="I4073" i="1" s="1"/>
  <c r="I4067" i="1"/>
  <c r="H4067" i="1"/>
  <c r="G4067" i="1"/>
  <c r="F4067" i="1"/>
  <c r="J4066" i="1"/>
  <c r="I4066" i="1"/>
  <c r="H4066" i="1"/>
  <c r="G4066" i="1"/>
  <c r="F4066" i="1"/>
  <c r="C4065" i="1"/>
  <c r="AG4064" i="1"/>
  <c r="J4071" i="1" s="1"/>
  <c r="AF4064" i="1"/>
  <c r="AE4064" i="1"/>
  <c r="AD4064" i="1"/>
  <c r="AC4064" i="1"/>
  <c r="J4069" i="1" s="1"/>
  <c r="AB4064" i="1"/>
  <c r="E4064" i="1"/>
  <c r="D4064" i="1"/>
  <c r="C4064" i="1"/>
  <c r="B4064" i="1"/>
  <c r="K4062" i="1"/>
  <c r="H4062" i="1"/>
  <c r="G4062" i="1"/>
  <c r="E4062" i="1"/>
  <c r="E4061" i="1"/>
  <c r="E4060" i="1"/>
  <c r="J4059" i="1"/>
  <c r="I4059" i="1"/>
  <c r="H4059" i="1"/>
  <c r="G4059" i="1"/>
  <c r="F4059" i="1"/>
  <c r="C4058" i="1"/>
  <c r="AG4057" i="1"/>
  <c r="AF4057" i="1"/>
  <c r="AE4057" i="1"/>
  <c r="J4061" i="1" s="1"/>
  <c r="AD4057" i="1"/>
  <c r="AC4057" i="1"/>
  <c r="J4060" i="1" s="1"/>
  <c r="I4063" i="1" s="1"/>
  <c r="AB4057" i="1"/>
  <c r="E4057" i="1"/>
  <c r="D4057" i="1"/>
  <c r="C4057" i="1"/>
  <c r="B4057" i="1"/>
  <c r="K4055" i="1"/>
  <c r="H4055" i="1"/>
  <c r="G4055" i="1"/>
  <c r="E4055" i="1"/>
  <c r="E4054" i="1"/>
  <c r="E4053" i="1"/>
  <c r="J4052" i="1"/>
  <c r="I4052" i="1"/>
  <c r="H4052" i="1"/>
  <c r="G4052" i="1"/>
  <c r="F4052" i="1"/>
  <c r="C4051" i="1"/>
  <c r="AG4050" i="1"/>
  <c r="AF4050" i="1"/>
  <c r="AE4050" i="1"/>
  <c r="J4054" i="1" s="1"/>
  <c r="AD4050" i="1"/>
  <c r="AC4050" i="1"/>
  <c r="J4053" i="1" s="1"/>
  <c r="AB4050" i="1"/>
  <c r="E4050" i="1"/>
  <c r="D4050" i="1"/>
  <c r="C4050" i="1"/>
  <c r="B4050" i="1"/>
  <c r="K4048" i="1"/>
  <c r="H4048" i="1"/>
  <c r="G4048" i="1"/>
  <c r="E4048" i="1"/>
  <c r="E4047" i="1"/>
  <c r="E4046" i="1"/>
  <c r="J4045" i="1"/>
  <c r="I4045" i="1"/>
  <c r="H4045" i="1"/>
  <c r="G4045" i="1"/>
  <c r="F4045" i="1"/>
  <c r="C4044" i="1"/>
  <c r="AG4043" i="1"/>
  <c r="AF4043" i="1"/>
  <c r="AE4043" i="1"/>
  <c r="J4047" i="1" s="1"/>
  <c r="AD4043" i="1"/>
  <c r="AC4043" i="1"/>
  <c r="J4046" i="1" s="1"/>
  <c r="AB4043" i="1"/>
  <c r="E4043" i="1"/>
  <c r="D4043" i="1"/>
  <c r="C4043" i="1"/>
  <c r="B4043" i="1"/>
  <c r="K4041" i="1"/>
  <c r="H4041" i="1"/>
  <c r="G4041" i="1"/>
  <c r="E4041" i="1"/>
  <c r="E4040" i="1"/>
  <c r="E4039" i="1"/>
  <c r="J4038" i="1"/>
  <c r="I4038" i="1"/>
  <c r="H4038" i="1"/>
  <c r="G4038" i="1"/>
  <c r="F4038" i="1"/>
  <c r="C4037" i="1"/>
  <c r="AG4036" i="1"/>
  <c r="AF4036" i="1"/>
  <c r="AE4036" i="1"/>
  <c r="J4040" i="1" s="1"/>
  <c r="AD4036" i="1"/>
  <c r="AC4036" i="1"/>
  <c r="J4039" i="1" s="1"/>
  <c r="AB4036" i="1"/>
  <c r="E4036" i="1"/>
  <c r="D4036" i="1"/>
  <c r="C4036" i="1"/>
  <c r="B4036" i="1"/>
  <c r="I4035" i="1"/>
  <c r="AA4035" i="1" s="1"/>
  <c r="J4034" i="1"/>
  <c r="I4034" i="1"/>
  <c r="H4034" i="1"/>
  <c r="G4034" i="1"/>
  <c r="F4034" i="1"/>
  <c r="AG4033" i="1"/>
  <c r="AF4033" i="1"/>
  <c r="AE4033" i="1"/>
  <c r="AD4033" i="1"/>
  <c r="AC4033" i="1"/>
  <c r="AB4033" i="1"/>
  <c r="E4033" i="1"/>
  <c r="D4033" i="1"/>
  <c r="C4033" i="1"/>
  <c r="B4033" i="1"/>
  <c r="A4032" i="1"/>
  <c r="A4030" i="1"/>
  <c r="A4027" i="1"/>
  <c r="A4024" i="1"/>
  <c r="J4021" i="1"/>
  <c r="I4022" i="1" s="1"/>
  <c r="I4021" i="1"/>
  <c r="H4021" i="1"/>
  <c r="G4021" i="1"/>
  <c r="F4021" i="1"/>
  <c r="AG4020" i="1"/>
  <c r="AF4020" i="1"/>
  <c r="AE4020" i="1"/>
  <c r="AD4020" i="1"/>
  <c r="AC4020" i="1"/>
  <c r="AB4020" i="1"/>
  <c r="E4020" i="1"/>
  <c r="D4020" i="1"/>
  <c r="C4020" i="1"/>
  <c r="B4020" i="1"/>
  <c r="A4019" i="1"/>
  <c r="A4016" i="1"/>
  <c r="I4014" i="1"/>
  <c r="AA4014" i="1" s="1"/>
  <c r="AG4013" i="1"/>
  <c r="AF4013" i="1"/>
  <c r="AE4013" i="1"/>
  <c r="AD4013" i="1"/>
  <c r="AC4013" i="1"/>
  <c r="AB4013" i="1"/>
  <c r="J4013" i="1"/>
  <c r="I4013" i="1"/>
  <c r="H4013" i="1"/>
  <c r="F4013" i="1"/>
  <c r="E4013" i="1"/>
  <c r="D4013" i="1"/>
  <c r="C4013" i="1"/>
  <c r="B4013" i="1"/>
  <c r="J4012" i="1"/>
  <c r="I4012" i="1"/>
  <c r="H4012" i="1"/>
  <c r="G4012" i="1"/>
  <c r="F4012" i="1"/>
  <c r="AG4011" i="1"/>
  <c r="AF4011" i="1"/>
  <c r="AE4011" i="1"/>
  <c r="AD4011" i="1"/>
  <c r="AC4011" i="1"/>
  <c r="AB4011" i="1"/>
  <c r="E4011" i="1"/>
  <c r="D4011" i="1"/>
  <c r="C4011" i="1"/>
  <c r="B4011" i="1"/>
  <c r="K4009" i="1"/>
  <c r="H4009" i="1"/>
  <c r="G4009" i="1"/>
  <c r="E4009" i="1"/>
  <c r="E4008" i="1"/>
  <c r="E4007" i="1"/>
  <c r="J4006" i="1"/>
  <c r="I4006" i="1"/>
  <c r="H4006" i="1"/>
  <c r="G4006" i="1"/>
  <c r="F4006" i="1"/>
  <c r="C4005" i="1"/>
  <c r="AG4004" i="1"/>
  <c r="AF4004" i="1"/>
  <c r="AE4004" i="1"/>
  <c r="J4008" i="1" s="1"/>
  <c r="AD4004" i="1"/>
  <c r="AC4004" i="1"/>
  <c r="J4007" i="1" s="1"/>
  <c r="AB4004" i="1"/>
  <c r="E4004" i="1"/>
  <c r="D4004" i="1"/>
  <c r="C4004" i="1"/>
  <c r="B4004" i="1"/>
  <c r="K4002" i="1"/>
  <c r="H4002" i="1"/>
  <c r="G4002" i="1"/>
  <c r="E4002" i="1"/>
  <c r="E4001" i="1"/>
  <c r="E4000" i="1"/>
  <c r="J3999" i="1"/>
  <c r="I3999" i="1"/>
  <c r="H3999" i="1"/>
  <c r="G3999" i="1"/>
  <c r="F3999" i="1"/>
  <c r="C3998" i="1"/>
  <c r="AG3997" i="1"/>
  <c r="AF3997" i="1"/>
  <c r="AE3997" i="1"/>
  <c r="J4001" i="1" s="1"/>
  <c r="AD3997" i="1"/>
  <c r="AC3997" i="1"/>
  <c r="J4000" i="1" s="1"/>
  <c r="AB3997" i="1"/>
  <c r="E3997" i="1"/>
  <c r="D3997" i="1"/>
  <c r="C3997" i="1"/>
  <c r="B3997" i="1"/>
  <c r="J3995" i="1"/>
  <c r="I3996" i="1" s="1"/>
  <c r="I3995" i="1"/>
  <c r="H3995" i="1"/>
  <c r="G3995" i="1"/>
  <c r="F3995" i="1"/>
  <c r="AG3994" i="1"/>
  <c r="AF3994" i="1"/>
  <c r="AE3994" i="1"/>
  <c r="AD3994" i="1"/>
  <c r="AC3994" i="1"/>
  <c r="AB3994" i="1"/>
  <c r="E3994" i="1"/>
  <c r="D3994" i="1"/>
  <c r="C3994" i="1"/>
  <c r="B3994" i="1"/>
  <c r="A3993" i="1"/>
  <c r="A3991" i="1"/>
  <c r="A3988" i="1"/>
  <c r="A3985" i="1"/>
  <c r="K3982" i="1"/>
  <c r="H3982" i="1"/>
  <c r="G3982" i="1"/>
  <c r="E3982" i="1"/>
  <c r="J3981" i="1"/>
  <c r="E3981" i="1"/>
  <c r="E3980" i="1"/>
  <c r="J3979" i="1"/>
  <c r="I3979" i="1"/>
  <c r="H3979" i="1"/>
  <c r="G3979" i="1"/>
  <c r="F3979" i="1"/>
  <c r="J3978" i="1"/>
  <c r="I3978" i="1"/>
  <c r="H3978" i="1"/>
  <c r="G3978" i="1"/>
  <c r="F3978" i="1"/>
  <c r="C3977" i="1"/>
  <c r="AG3976" i="1"/>
  <c r="AF3976" i="1"/>
  <c r="AE3976" i="1"/>
  <c r="AD3976" i="1"/>
  <c r="AC3976" i="1"/>
  <c r="J3980" i="1" s="1"/>
  <c r="I3983" i="1" s="1"/>
  <c r="AB3976" i="1"/>
  <c r="E3976" i="1"/>
  <c r="D3976" i="1"/>
  <c r="C3976" i="1"/>
  <c r="B3976" i="1"/>
  <c r="I3975" i="1"/>
  <c r="AA3975" i="1" s="1"/>
  <c r="AG3974" i="1"/>
  <c r="AF3974" i="1"/>
  <c r="AE3974" i="1"/>
  <c r="AD3974" i="1"/>
  <c r="AC3974" i="1"/>
  <c r="AB3974" i="1"/>
  <c r="J3974" i="1"/>
  <c r="I3974" i="1"/>
  <c r="H3974" i="1"/>
  <c r="F3974" i="1"/>
  <c r="E3974" i="1"/>
  <c r="D3974" i="1"/>
  <c r="C3974" i="1"/>
  <c r="B3974" i="1"/>
  <c r="J3973" i="1"/>
  <c r="I3973" i="1"/>
  <c r="H3973" i="1"/>
  <c r="G3973" i="1"/>
  <c r="F3973" i="1"/>
  <c r="AG3972" i="1"/>
  <c r="AF3972" i="1"/>
  <c r="AE3972" i="1"/>
  <c r="AD3972" i="1"/>
  <c r="AC3972" i="1"/>
  <c r="AB3972" i="1"/>
  <c r="E3972" i="1"/>
  <c r="D3972" i="1"/>
  <c r="C3972" i="1"/>
  <c r="B3972" i="1"/>
  <c r="K3970" i="1"/>
  <c r="H3970" i="1"/>
  <c r="G3970" i="1"/>
  <c r="E3970" i="1"/>
  <c r="E3969" i="1"/>
  <c r="E3968" i="1"/>
  <c r="J3967" i="1"/>
  <c r="I3967" i="1"/>
  <c r="H3967" i="1"/>
  <c r="G3967" i="1"/>
  <c r="F3967" i="1"/>
  <c r="C3966" i="1"/>
  <c r="AG3965" i="1"/>
  <c r="AF3965" i="1"/>
  <c r="AE3965" i="1"/>
  <c r="J3969" i="1" s="1"/>
  <c r="AD3965" i="1"/>
  <c r="AC3965" i="1"/>
  <c r="J3968" i="1" s="1"/>
  <c r="I3971" i="1" s="1"/>
  <c r="AB3965" i="1"/>
  <c r="E3965" i="1"/>
  <c r="D3965" i="1"/>
  <c r="C3965" i="1"/>
  <c r="B3965" i="1"/>
  <c r="K3963" i="1"/>
  <c r="H3963" i="1"/>
  <c r="G3963" i="1"/>
  <c r="E3963" i="1"/>
  <c r="E3962" i="1"/>
  <c r="E3961" i="1"/>
  <c r="J3960" i="1"/>
  <c r="I3960" i="1"/>
  <c r="H3960" i="1"/>
  <c r="G3960" i="1"/>
  <c r="F3960" i="1"/>
  <c r="C3959" i="1"/>
  <c r="AG3958" i="1"/>
  <c r="AF3958" i="1"/>
  <c r="AE3958" i="1"/>
  <c r="J3962" i="1" s="1"/>
  <c r="AD3958" i="1"/>
  <c r="AC3958" i="1"/>
  <c r="J3961" i="1" s="1"/>
  <c r="AB3958" i="1"/>
  <c r="E3958" i="1"/>
  <c r="D3958" i="1"/>
  <c r="C3958" i="1"/>
  <c r="B3958" i="1"/>
  <c r="K3956" i="1"/>
  <c r="H3956" i="1"/>
  <c r="G3956" i="1"/>
  <c r="E3956" i="1"/>
  <c r="E3955" i="1"/>
  <c r="E3954" i="1"/>
  <c r="J3953" i="1"/>
  <c r="I3953" i="1"/>
  <c r="H3953" i="1"/>
  <c r="G3953" i="1"/>
  <c r="F3953" i="1"/>
  <c r="C3952" i="1"/>
  <c r="AG3951" i="1"/>
  <c r="AF3951" i="1"/>
  <c r="AE3951" i="1"/>
  <c r="J3955" i="1" s="1"/>
  <c r="AD3951" i="1"/>
  <c r="AC3951" i="1"/>
  <c r="J3954" i="1" s="1"/>
  <c r="AB3951" i="1"/>
  <c r="E3951" i="1"/>
  <c r="D3951" i="1"/>
  <c r="C3951" i="1"/>
  <c r="B3951" i="1"/>
  <c r="K3949" i="1"/>
  <c r="H3949" i="1"/>
  <c r="G3949" i="1"/>
  <c r="E3949" i="1"/>
  <c r="E3948" i="1"/>
  <c r="E3947" i="1"/>
  <c r="J3946" i="1"/>
  <c r="I3946" i="1"/>
  <c r="H3946" i="1"/>
  <c r="G3946" i="1"/>
  <c r="F3946" i="1"/>
  <c r="C3945" i="1"/>
  <c r="AG3944" i="1"/>
  <c r="AF3944" i="1"/>
  <c r="AE3944" i="1"/>
  <c r="J3948" i="1" s="1"/>
  <c r="AD3944" i="1"/>
  <c r="AC3944" i="1"/>
  <c r="J3947" i="1" s="1"/>
  <c r="AB3944" i="1"/>
  <c r="E3944" i="1"/>
  <c r="D3944" i="1"/>
  <c r="C3944" i="1"/>
  <c r="B3944" i="1"/>
  <c r="K3942" i="1"/>
  <c r="H3942" i="1"/>
  <c r="G3942" i="1"/>
  <c r="E3942" i="1"/>
  <c r="E3941" i="1"/>
  <c r="E3940" i="1"/>
  <c r="J3939" i="1"/>
  <c r="I3939" i="1"/>
  <c r="H3939" i="1"/>
  <c r="G3939" i="1"/>
  <c r="F3939" i="1"/>
  <c r="C3938" i="1"/>
  <c r="AG3937" i="1"/>
  <c r="AF3937" i="1"/>
  <c r="AE3937" i="1"/>
  <c r="J3941" i="1" s="1"/>
  <c r="AD3937" i="1"/>
  <c r="AC3937" i="1"/>
  <c r="J3940" i="1" s="1"/>
  <c r="I3943" i="1" s="1"/>
  <c r="AB3937" i="1"/>
  <c r="E3937" i="1"/>
  <c r="D3937" i="1"/>
  <c r="C3937" i="1"/>
  <c r="B3937" i="1"/>
  <c r="J3935" i="1"/>
  <c r="I3936" i="1" s="1"/>
  <c r="AA3936" i="1" s="1"/>
  <c r="I3935" i="1"/>
  <c r="H3935" i="1"/>
  <c r="G3935" i="1"/>
  <c r="F3935" i="1"/>
  <c r="AG3934" i="1"/>
  <c r="AF3934" i="1"/>
  <c r="AE3934" i="1"/>
  <c r="AD3934" i="1"/>
  <c r="AC3934" i="1"/>
  <c r="AB3934" i="1"/>
  <c r="E3934" i="1"/>
  <c r="D3934" i="1"/>
  <c r="C3934" i="1"/>
  <c r="B3934" i="1"/>
  <c r="A3933" i="1"/>
  <c r="A3930" i="1"/>
  <c r="K3927" i="1"/>
  <c r="H3927" i="1"/>
  <c r="G3927" i="1"/>
  <c r="E3927" i="1"/>
  <c r="E3926" i="1"/>
  <c r="E3925" i="1"/>
  <c r="J3924" i="1"/>
  <c r="I3924" i="1"/>
  <c r="H3924" i="1"/>
  <c r="G3924" i="1"/>
  <c r="F3924" i="1"/>
  <c r="C3923" i="1"/>
  <c r="AG3922" i="1"/>
  <c r="AF3922" i="1"/>
  <c r="AE3922" i="1"/>
  <c r="J3926" i="1" s="1"/>
  <c r="AD3922" i="1"/>
  <c r="AC3922" i="1"/>
  <c r="J3925" i="1" s="1"/>
  <c r="AB3922" i="1"/>
  <c r="E3922" i="1"/>
  <c r="D3922" i="1"/>
  <c r="C3922" i="1"/>
  <c r="B3922" i="1"/>
  <c r="AA3921" i="1"/>
  <c r="I3921" i="1"/>
  <c r="K3921" i="1" s="1"/>
  <c r="J3920" i="1"/>
  <c r="I3920" i="1"/>
  <c r="H3920" i="1"/>
  <c r="G3920" i="1"/>
  <c r="F3920" i="1"/>
  <c r="AG3919" i="1"/>
  <c r="AF3919" i="1"/>
  <c r="AE3919" i="1"/>
  <c r="AD3919" i="1"/>
  <c r="AC3919" i="1"/>
  <c r="AB3919" i="1"/>
  <c r="E3919" i="1"/>
  <c r="D3919" i="1"/>
  <c r="C3919" i="1"/>
  <c r="B3919" i="1"/>
  <c r="A3918" i="1"/>
  <c r="A3916" i="1"/>
  <c r="A3913" i="1"/>
  <c r="A3910" i="1"/>
  <c r="K3907" i="1"/>
  <c r="H3907" i="1"/>
  <c r="G3907" i="1"/>
  <c r="E3907" i="1"/>
  <c r="E3906" i="1"/>
  <c r="E3905" i="1"/>
  <c r="J3904" i="1"/>
  <c r="I3904" i="1"/>
  <c r="H3904" i="1"/>
  <c r="G3904" i="1"/>
  <c r="F3904" i="1"/>
  <c r="C3903" i="1"/>
  <c r="AG3902" i="1"/>
  <c r="AF3902" i="1"/>
  <c r="AE3902" i="1"/>
  <c r="J3906" i="1" s="1"/>
  <c r="I3908" i="1" s="1"/>
  <c r="AD3902" i="1"/>
  <c r="AC3902" i="1"/>
  <c r="J3905" i="1" s="1"/>
  <c r="AB3902" i="1"/>
  <c r="E3902" i="1"/>
  <c r="D3902" i="1"/>
  <c r="C3902" i="1"/>
  <c r="B3902" i="1"/>
  <c r="A3901" i="1"/>
  <c r="A3898" i="1"/>
  <c r="J3895" i="1"/>
  <c r="I3896" i="1" s="1"/>
  <c r="I3895" i="1"/>
  <c r="H3895" i="1"/>
  <c r="G3895" i="1"/>
  <c r="F3895" i="1"/>
  <c r="AG3894" i="1"/>
  <c r="AF3894" i="1"/>
  <c r="AE3894" i="1"/>
  <c r="AD3894" i="1"/>
  <c r="AC3894" i="1"/>
  <c r="AB3894" i="1"/>
  <c r="E3894" i="1"/>
  <c r="D3894" i="1"/>
  <c r="C3894" i="1"/>
  <c r="B3894" i="1"/>
  <c r="A3893" i="1"/>
  <c r="A3890" i="1"/>
  <c r="K3887" i="1"/>
  <c r="H3887" i="1"/>
  <c r="G3887" i="1"/>
  <c r="E3887" i="1"/>
  <c r="J3886" i="1"/>
  <c r="E3886" i="1"/>
  <c r="J3885" i="1"/>
  <c r="E3885" i="1"/>
  <c r="J3884" i="1"/>
  <c r="I3884" i="1"/>
  <c r="H3884" i="1"/>
  <c r="G3884" i="1"/>
  <c r="F3884" i="1"/>
  <c r="J3883" i="1"/>
  <c r="I3888" i="1" s="1"/>
  <c r="I3883" i="1"/>
  <c r="H3883" i="1"/>
  <c r="G3883" i="1"/>
  <c r="F3883" i="1"/>
  <c r="C3882" i="1"/>
  <c r="AG3881" i="1"/>
  <c r="AF3881" i="1"/>
  <c r="AE3881" i="1"/>
  <c r="AD3881" i="1"/>
  <c r="AC3881" i="1"/>
  <c r="AB3881" i="1"/>
  <c r="E3881" i="1"/>
  <c r="D3881" i="1"/>
  <c r="C3881" i="1"/>
  <c r="B3881" i="1"/>
  <c r="K3880" i="1"/>
  <c r="AG3879" i="1"/>
  <c r="AF3879" i="1"/>
  <c r="AE3879" i="1"/>
  <c r="AD3879" i="1"/>
  <c r="AC3879" i="1"/>
  <c r="AB3879" i="1"/>
  <c r="J3879" i="1"/>
  <c r="I3879" i="1"/>
  <c r="H3879" i="1"/>
  <c r="F3879" i="1"/>
  <c r="E3879" i="1"/>
  <c r="D3879" i="1"/>
  <c r="C3879" i="1"/>
  <c r="B3879" i="1"/>
  <c r="J3878" i="1"/>
  <c r="I3880" i="1" s="1"/>
  <c r="AA3880" i="1" s="1"/>
  <c r="I3878" i="1"/>
  <c r="H3878" i="1"/>
  <c r="G3878" i="1"/>
  <c r="F3878" i="1"/>
  <c r="AG3877" i="1"/>
  <c r="AF3877" i="1"/>
  <c r="AE3877" i="1"/>
  <c r="AD3877" i="1"/>
  <c r="AC3877" i="1"/>
  <c r="AB3877" i="1"/>
  <c r="E3877" i="1"/>
  <c r="D3877" i="1"/>
  <c r="C3877" i="1"/>
  <c r="B3877" i="1"/>
  <c r="K3875" i="1"/>
  <c r="H3875" i="1"/>
  <c r="G3875" i="1"/>
  <c r="E3875" i="1"/>
  <c r="E3874" i="1"/>
  <c r="E3873" i="1"/>
  <c r="J3872" i="1"/>
  <c r="I3872" i="1"/>
  <c r="H3872" i="1"/>
  <c r="G3872" i="1"/>
  <c r="F3872" i="1"/>
  <c r="C3871" i="1"/>
  <c r="AG3870" i="1"/>
  <c r="AF3870" i="1"/>
  <c r="AE3870" i="1"/>
  <c r="J3874" i="1" s="1"/>
  <c r="AD3870" i="1"/>
  <c r="AC3870" i="1"/>
  <c r="J3873" i="1" s="1"/>
  <c r="AB3870" i="1"/>
  <c r="E3870" i="1"/>
  <c r="D3870" i="1"/>
  <c r="C3870" i="1"/>
  <c r="B3870" i="1"/>
  <c r="K3868" i="1"/>
  <c r="H3868" i="1"/>
  <c r="G3868" i="1"/>
  <c r="E3868" i="1"/>
  <c r="E3867" i="1"/>
  <c r="E3866" i="1"/>
  <c r="J3865" i="1"/>
  <c r="I3865" i="1"/>
  <c r="H3865" i="1"/>
  <c r="G3865" i="1"/>
  <c r="F3865" i="1"/>
  <c r="C3864" i="1"/>
  <c r="AG3863" i="1"/>
  <c r="AF3863" i="1"/>
  <c r="AE3863" i="1"/>
  <c r="J3867" i="1" s="1"/>
  <c r="AD3863" i="1"/>
  <c r="AC3863" i="1"/>
  <c r="J3866" i="1" s="1"/>
  <c r="I3869" i="1" s="1"/>
  <c r="AB3863" i="1"/>
  <c r="E3863" i="1"/>
  <c r="D3863" i="1"/>
  <c r="C3863" i="1"/>
  <c r="B3863" i="1"/>
  <c r="K3861" i="1"/>
  <c r="H3861" i="1"/>
  <c r="G3861" i="1"/>
  <c r="E3861" i="1"/>
  <c r="E3860" i="1"/>
  <c r="E3859" i="1"/>
  <c r="J3858" i="1"/>
  <c r="I3858" i="1"/>
  <c r="H3858" i="1"/>
  <c r="G3858" i="1"/>
  <c r="F3858" i="1"/>
  <c r="C3857" i="1"/>
  <c r="AG3856" i="1"/>
  <c r="AF3856" i="1"/>
  <c r="AE3856" i="1"/>
  <c r="J3860" i="1" s="1"/>
  <c r="AD3856" i="1"/>
  <c r="AC3856" i="1"/>
  <c r="J3859" i="1" s="1"/>
  <c r="AB3856" i="1"/>
  <c r="E3856" i="1"/>
  <c r="D3856" i="1"/>
  <c r="C3856" i="1"/>
  <c r="B3856" i="1"/>
  <c r="AA3855" i="1"/>
  <c r="K3854" i="1"/>
  <c r="H3854" i="1"/>
  <c r="G3854" i="1"/>
  <c r="E3854" i="1"/>
  <c r="E3853" i="1"/>
  <c r="E3852" i="1"/>
  <c r="J3851" i="1"/>
  <c r="I3851" i="1"/>
  <c r="H3851" i="1"/>
  <c r="G3851" i="1"/>
  <c r="F3851" i="1"/>
  <c r="C3850" i="1"/>
  <c r="AG3849" i="1"/>
  <c r="AF3849" i="1"/>
  <c r="AE3849" i="1"/>
  <c r="J3853" i="1" s="1"/>
  <c r="AD3849" i="1"/>
  <c r="AC3849" i="1"/>
  <c r="J3852" i="1" s="1"/>
  <c r="I3855" i="1" s="1"/>
  <c r="K3855" i="1" s="1"/>
  <c r="AB3849" i="1"/>
  <c r="E3849" i="1"/>
  <c r="D3849" i="1"/>
  <c r="C3849" i="1"/>
  <c r="B3849" i="1"/>
  <c r="K3847" i="1"/>
  <c r="H3847" i="1"/>
  <c r="G3847" i="1"/>
  <c r="E3847" i="1"/>
  <c r="E3846" i="1"/>
  <c r="E3845" i="1"/>
  <c r="J3844" i="1"/>
  <c r="I3844" i="1"/>
  <c r="H3844" i="1"/>
  <c r="G3844" i="1"/>
  <c r="F3844" i="1"/>
  <c r="C3843" i="1"/>
  <c r="AG3842" i="1"/>
  <c r="AF3842" i="1"/>
  <c r="AE3842" i="1"/>
  <c r="J3846" i="1" s="1"/>
  <c r="AD3842" i="1"/>
  <c r="AC3842" i="1"/>
  <c r="J3845" i="1" s="1"/>
  <c r="AB3842" i="1"/>
  <c r="E3842" i="1"/>
  <c r="D3842" i="1"/>
  <c r="C3842" i="1"/>
  <c r="B3842" i="1"/>
  <c r="I3841" i="1"/>
  <c r="J3840" i="1"/>
  <c r="I3840" i="1"/>
  <c r="H3840" i="1"/>
  <c r="G3840" i="1"/>
  <c r="F3840" i="1"/>
  <c r="AG3839" i="1"/>
  <c r="AF3839" i="1"/>
  <c r="AE3839" i="1"/>
  <c r="AD3839" i="1"/>
  <c r="AC3839" i="1"/>
  <c r="AB3839" i="1"/>
  <c r="E3839" i="1"/>
  <c r="D3839" i="1"/>
  <c r="C3839" i="1"/>
  <c r="B3839" i="1"/>
  <c r="A3838" i="1"/>
  <c r="A3835" i="1"/>
  <c r="K3832" i="1"/>
  <c r="H3832" i="1"/>
  <c r="G3832" i="1"/>
  <c r="E3832" i="1"/>
  <c r="E3831" i="1"/>
  <c r="E3830" i="1"/>
  <c r="J3829" i="1"/>
  <c r="I3829" i="1"/>
  <c r="H3829" i="1"/>
  <c r="G3829" i="1"/>
  <c r="F3829" i="1"/>
  <c r="C3828" i="1"/>
  <c r="AG3827" i="1"/>
  <c r="AF3827" i="1"/>
  <c r="AE3827" i="1"/>
  <c r="J3831" i="1" s="1"/>
  <c r="AD3827" i="1"/>
  <c r="AC3827" i="1"/>
  <c r="J3830" i="1" s="1"/>
  <c r="I3833" i="1" s="1"/>
  <c r="K3833" i="1" s="1"/>
  <c r="AB3827" i="1"/>
  <c r="E3827" i="1"/>
  <c r="D3827" i="1"/>
  <c r="C3827" i="1"/>
  <c r="B3827" i="1"/>
  <c r="K3826" i="1"/>
  <c r="J3825" i="1"/>
  <c r="I3826" i="1" s="1"/>
  <c r="AA3826" i="1" s="1"/>
  <c r="I3825" i="1"/>
  <c r="H3825" i="1"/>
  <c r="G3825" i="1"/>
  <c r="F3825" i="1"/>
  <c r="AG3824" i="1"/>
  <c r="AF3824" i="1"/>
  <c r="AE3824" i="1"/>
  <c r="AD3824" i="1"/>
  <c r="AC3824" i="1"/>
  <c r="AB3824" i="1"/>
  <c r="E3824" i="1"/>
  <c r="D3824" i="1"/>
  <c r="C3824" i="1"/>
  <c r="B3824" i="1"/>
  <c r="A3823" i="1"/>
  <c r="AQ3820" i="1"/>
  <c r="A3820" i="1"/>
  <c r="K3817" i="1"/>
  <c r="H3817" i="1"/>
  <c r="G3817" i="1"/>
  <c r="E3817" i="1"/>
  <c r="E3816" i="1"/>
  <c r="E3815" i="1"/>
  <c r="J3814" i="1"/>
  <c r="I3814" i="1"/>
  <c r="H3814" i="1"/>
  <c r="G3814" i="1"/>
  <c r="F3814" i="1"/>
  <c r="J3813" i="1"/>
  <c r="I3813" i="1"/>
  <c r="H3813" i="1"/>
  <c r="G3813" i="1"/>
  <c r="F3813" i="1"/>
  <c r="C3812" i="1"/>
  <c r="AG3811" i="1"/>
  <c r="AF3811" i="1"/>
  <c r="AE3811" i="1"/>
  <c r="J3816" i="1" s="1"/>
  <c r="AD3811" i="1"/>
  <c r="AC3811" i="1"/>
  <c r="J3815" i="1" s="1"/>
  <c r="I3818" i="1" s="1"/>
  <c r="AB3811" i="1"/>
  <c r="E3811" i="1"/>
  <c r="D3811" i="1"/>
  <c r="C3811" i="1"/>
  <c r="B3811" i="1"/>
  <c r="I3810" i="1"/>
  <c r="AG3809" i="1"/>
  <c r="AF3809" i="1"/>
  <c r="AE3809" i="1"/>
  <c r="AD3809" i="1"/>
  <c r="AC3809" i="1"/>
  <c r="AB3809" i="1"/>
  <c r="J3809" i="1"/>
  <c r="I3809" i="1"/>
  <c r="H3809" i="1"/>
  <c r="F3809" i="1"/>
  <c r="E3809" i="1"/>
  <c r="D3809" i="1"/>
  <c r="C3809" i="1"/>
  <c r="B3809" i="1"/>
  <c r="J3808" i="1"/>
  <c r="I3808" i="1"/>
  <c r="H3808" i="1"/>
  <c r="G3808" i="1"/>
  <c r="F3808" i="1"/>
  <c r="AG3807" i="1"/>
  <c r="AF3807" i="1"/>
  <c r="AE3807" i="1"/>
  <c r="AD3807" i="1"/>
  <c r="AC3807" i="1"/>
  <c r="AB3807" i="1"/>
  <c r="E3807" i="1"/>
  <c r="D3807" i="1"/>
  <c r="C3807" i="1"/>
  <c r="B3807" i="1"/>
  <c r="I3806" i="1"/>
  <c r="AG3805" i="1"/>
  <c r="AF3805" i="1"/>
  <c r="AE3805" i="1"/>
  <c r="AD3805" i="1"/>
  <c r="AC3805" i="1"/>
  <c r="AB3805" i="1"/>
  <c r="J3805" i="1"/>
  <c r="I3805" i="1"/>
  <c r="H3805" i="1"/>
  <c r="F3805" i="1"/>
  <c r="E3805" i="1"/>
  <c r="D3805" i="1"/>
  <c r="C3805" i="1"/>
  <c r="B3805" i="1"/>
  <c r="J3804" i="1"/>
  <c r="I3804" i="1"/>
  <c r="H3804" i="1"/>
  <c r="G3804" i="1"/>
  <c r="F3804" i="1"/>
  <c r="AG3803" i="1"/>
  <c r="AF3803" i="1"/>
  <c r="AE3803" i="1"/>
  <c r="AD3803" i="1"/>
  <c r="AC3803" i="1"/>
  <c r="AB3803" i="1"/>
  <c r="E3803" i="1"/>
  <c r="D3803" i="1"/>
  <c r="C3803" i="1"/>
  <c r="B3803" i="1"/>
  <c r="K3801" i="1"/>
  <c r="H3801" i="1"/>
  <c r="G3801" i="1"/>
  <c r="E3801" i="1"/>
  <c r="E3800" i="1"/>
  <c r="E3799" i="1"/>
  <c r="J3798" i="1"/>
  <c r="I3798" i="1"/>
  <c r="H3798" i="1"/>
  <c r="G3798" i="1"/>
  <c r="F3798" i="1"/>
  <c r="C3797" i="1"/>
  <c r="AG3796" i="1"/>
  <c r="AF3796" i="1"/>
  <c r="AE3796" i="1"/>
  <c r="J3800" i="1" s="1"/>
  <c r="AD3796" i="1"/>
  <c r="AC3796" i="1"/>
  <c r="J3799" i="1" s="1"/>
  <c r="I3802" i="1" s="1"/>
  <c r="AB3796" i="1"/>
  <c r="E3796" i="1"/>
  <c r="D3796" i="1"/>
  <c r="C3796" i="1"/>
  <c r="B3796" i="1"/>
  <c r="K3794" i="1"/>
  <c r="H3794" i="1"/>
  <c r="G3794" i="1"/>
  <c r="E3794" i="1"/>
  <c r="J3793" i="1"/>
  <c r="E3793" i="1"/>
  <c r="E3792" i="1"/>
  <c r="J3791" i="1"/>
  <c r="E3791" i="1"/>
  <c r="J3790" i="1"/>
  <c r="I3790" i="1"/>
  <c r="H3790" i="1"/>
  <c r="G3790" i="1"/>
  <c r="F3790" i="1"/>
  <c r="J3789" i="1"/>
  <c r="I3789" i="1"/>
  <c r="H3789" i="1"/>
  <c r="G3789" i="1"/>
  <c r="F3789" i="1"/>
  <c r="J3788" i="1"/>
  <c r="I3788" i="1"/>
  <c r="H3788" i="1"/>
  <c r="G3788" i="1"/>
  <c r="F3788" i="1"/>
  <c r="C3787" i="1"/>
  <c r="AG3786" i="1"/>
  <c r="AF3786" i="1"/>
  <c r="AE3786" i="1"/>
  <c r="J3792" i="1" s="1"/>
  <c r="AD3786" i="1"/>
  <c r="AC3786" i="1"/>
  <c r="AB3786" i="1"/>
  <c r="E3786" i="1"/>
  <c r="D3786" i="1"/>
  <c r="C3786" i="1"/>
  <c r="B3786" i="1"/>
  <c r="AA3785" i="1"/>
  <c r="K3784" i="1"/>
  <c r="H3784" i="1"/>
  <c r="G3784" i="1"/>
  <c r="E3784" i="1"/>
  <c r="E3783" i="1"/>
  <c r="E3782" i="1"/>
  <c r="J3781" i="1"/>
  <c r="I3781" i="1"/>
  <c r="H3781" i="1"/>
  <c r="G3781" i="1"/>
  <c r="F3781" i="1"/>
  <c r="C3780" i="1"/>
  <c r="AG3779" i="1"/>
  <c r="AF3779" i="1"/>
  <c r="AE3779" i="1"/>
  <c r="J3783" i="1" s="1"/>
  <c r="AD3779" i="1"/>
  <c r="AC3779" i="1"/>
  <c r="J3782" i="1" s="1"/>
  <c r="I3785" i="1" s="1"/>
  <c r="K3785" i="1" s="1"/>
  <c r="AB3779" i="1"/>
  <c r="E3779" i="1"/>
  <c r="D3779" i="1"/>
  <c r="C3779" i="1"/>
  <c r="B3779" i="1"/>
  <c r="K3777" i="1"/>
  <c r="H3777" i="1"/>
  <c r="G3777" i="1"/>
  <c r="E3777" i="1"/>
  <c r="E3776" i="1"/>
  <c r="E3775" i="1"/>
  <c r="J3774" i="1"/>
  <c r="I3774" i="1"/>
  <c r="H3774" i="1"/>
  <c r="G3774" i="1"/>
  <c r="F3774" i="1"/>
  <c r="C3773" i="1"/>
  <c r="AG3772" i="1"/>
  <c r="AF3772" i="1"/>
  <c r="AE3772" i="1"/>
  <c r="J3776" i="1" s="1"/>
  <c r="AD3772" i="1"/>
  <c r="AC3772" i="1"/>
  <c r="J3775" i="1" s="1"/>
  <c r="AB3772" i="1"/>
  <c r="E3772" i="1"/>
  <c r="D3772" i="1"/>
  <c r="C3772" i="1"/>
  <c r="B3772" i="1"/>
  <c r="K3770" i="1"/>
  <c r="H3770" i="1"/>
  <c r="G3770" i="1"/>
  <c r="E3770" i="1"/>
  <c r="E3769" i="1"/>
  <c r="E3768" i="1"/>
  <c r="J3767" i="1"/>
  <c r="I3767" i="1"/>
  <c r="H3767" i="1"/>
  <c r="G3767" i="1"/>
  <c r="F3767" i="1"/>
  <c r="C3766" i="1"/>
  <c r="AG3765" i="1"/>
  <c r="AF3765" i="1"/>
  <c r="AE3765" i="1"/>
  <c r="J3769" i="1" s="1"/>
  <c r="AD3765" i="1"/>
  <c r="AC3765" i="1"/>
  <c r="J3768" i="1" s="1"/>
  <c r="I3771" i="1" s="1"/>
  <c r="AB3765" i="1"/>
  <c r="E3765" i="1"/>
  <c r="D3765" i="1"/>
  <c r="C3765" i="1"/>
  <c r="B3765" i="1"/>
  <c r="K3763" i="1"/>
  <c r="H3763" i="1"/>
  <c r="G3763" i="1"/>
  <c r="E3763" i="1"/>
  <c r="E3762" i="1"/>
  <c r="E3761" i="1"/>
  <c r="J3760" i="1"/>
  <c r="I3760" i="1"/>
  <c r="H3760" i="1"/>
  <c r="G3760" i="1"/>
  <c r="F3760" i="1"/>
  <c r="C3759" i="1"/>
  <c r="AG3758" i="1"/>
  <c r="AF3758" i="1"/>
  <c r="AE3758" i="1"/>
  <c r="J3762" i="1" s="1"/>
  <c r="AD3758" i="1"/>
  <c r="AC3758" i="1"/>
  <c r="J3761" i="1" s="1"/>
  <c r="AB3758" i="1"/>
  <c r="E3758" i="1"/>
  <c r="D3758" i="1"/>
  <c r="C3758" i="1"/>
  <c r="B3758" i="1"/>
  <c r="E3756" i="1"/>
  <c r="J3755" i="1"/>
  <c r="I3755" i="1"/>
  <c r="H3755" i="1"/>
  <c r="G3755" i="1"/>
  <c r="F3755" i="1"/>
  <c r="J3754" i="1"/>
  <c r="I3757" i="1" s="1"/>
  <c r="I3754" i="1"/>
  <c r="H3754" i="1"/>
  <c r="G3754" i="1"/>
  <c r="F3754" i="1"/>
  <c r="C3753" i="1"/>
  <c r="AG3752" i="1"/>
  <c r="J3756" i="1" s="1"/>
  <c r="AF3752" i="1"/>
  <c r="AE3752" i="1"/>
  <c r="AD3752" i="1"/>
  <c r="AC3752" i="1"/>
  <c r="AB3752" i="1"/>
  <c r="E3752" i="1"/>
  <c r="D3752" i="1"/>
  <c r="C3752" i="1"/>
  <c r="B3752" i="1"/>
  <c r="I3751" i="1"/>
  <c r="AG3750" i="1"/>
  <c r="AF3750" i="1"/>
  <c r="AE3750" i="1"/>
  <c r="AD3750" i="1"/>
  <c r="AC3750" i="1"/>
  <c r="AB3750" i="1"/>
  <c r="J3750" i="1"/>
  <c r="I3750" i="1"/>
  <c r="H3750" i="1"/>
  <c r="F3750" i="1"/>
  <c r="E3750" i="1"/>
  <c r="D3750" i="1"/>
  <c r="C3750" i="1"/>
  <c r="B3750" i="1"/>
  <c r="J3749" i="1"/>
  <c r="I3749" i="1"/>
  <c r="H3749" i="1"/>
  <c r="G3749" i="1"/>
  <c r="F3749" i="1"/>
  <c r="AG3748" i="1"/>
  <c r="AF3748" i="1"/>
  <c r="AE3748" i="1"/>
  <c r="AD3748" i="1"/>
  <c r="AC3748" i="1"/>
  <c r="AB3748" i="1"/>
  <c r="E3748" i="1"/>
  <c r="D3748" i="1"/>
  <c r="C3748" i="1"/>
  <c r="B3748" i="1"/>
  <c r="I3747" i="1"/>
  <c r="J3746" i="1"/>
  <c r="I3746" i="1"/>
  <c r="H3746" i="1"/>
  <c r="G3746" i="1"/>
  <c r="F3746" i="1"/>
  <c r="AG3745" i="1"/>
  <c r="AF3745" i="1"/>
  <c r="AE3745" i="1"/>
  <c r="AD3745" i="1"/>
  <c r="AC3745" i="1"/>
  <c r="AB3745" i="1"/>
  <c r="E3745" i="1"/>
  <c r="D3745" i="1"/>
  <c r="C3745" i="1"/>
  <c r="B3745" i="1"/>
  <c r="AA3744" i="1"/>
  <c r="I3744" i="1"/>
  <c r="K3744" i="1" s="1"/>
  <c r="J3743" i="1"/>
  <c r="I3743" i="1"/>
  <c r="H3743" i="1"/>
  <c r="G3743" i="1"/>
  <c r="F3743" i="1"/>
  <c r="AG3742" i="1"/>
  <c r="AF3742" i="1"/>
  <c r="AE3742" i="1"/>
  <c r="AD3742" i="1"/>
  <c r="AC3742" i="1"/>
  <c r="AB3742" i="1"/>
  <c r="E3742" i="1"/>
  <c r="D3742" i="1"/>
  <c r="C3742" i="1"/>
  <c r="B3742" i="1"/>
  <c r="AP3741" i="1"/>
  <c r="A3741" i="1"/>
  <c r="A3739" i="1"/>
  <c r="A3737" i="1"/>
  <c r="A3734" i="1"/>
  <c r="A3731" i="1"/>
  <c r="K3728" i="1"/>
  <c r="H3728" i="1"/>
  <c r="G3728" i="1"/>
  <c r="E3728" i="1"/>
  <c r="E3727" i="1"/>
  <c r="E3726" i="1"/>
  <c r="AG3725" i="1"/>
  <c r="AF3725" i="1"/>
  <c r="AE3725" i="1"/>
  <c r="AD3725" i="1"/>
  <c r="AC3725" i="1"/>
  <c r="AB3725" i="1"/>
  <c r="J3725" i="1"/>
  <c r="I3725" i="1"/>
  <c r="H3725" i="1"/>
  <c r="F3725" i="1"/>
  <c r="E3725" i="1"/>
  <c r="D3725" i="1"/>
  <c r="C3725" i="1"/>
  <c r="B3725" i="1"/>
  <c r="AG3724" i="1"/>
  <c r="AF3724" i="1"/>
  <c r="AE3724" i="1"/>
  <c r="J3727" i="1" s="1"/>
  <c r="AD3724" i="1"/>
  <c r="AC3724" i="1"/>
  <c r="J3726" i="1" s="1"/>
  <c r="AB3724" i="1"/>
  <c r="J3724" i="1"/>
  <c r="I3724" i="1"/>
  <c r="H3724" i="1"/>
  <c r="F3724" i="1"/>
  <c r="E3724" i="1"/>
  <c r="D3724" i="1"/>
  <c r="C3724" i="1"/>
  <c r="B3724" i="1"/>
  <c r="J3723" i="1"/>
  <c r="I3723" i="1"/>
  <c r="H3723" i="1"/>
  <c r="G3723" i="1"/>
  <c r="F3723" i="1"/>
  <c r="AG3722" i="1"/>
  <c r="AF3722" i="1"/>
  <c r="AE3722" i="1"/>
  <c r="AD3722" i="1"/>
  <c r="AC3722" i="1"/>
  <c r="AB3722" i="1"/>
  <c r="E3722" i="1"/>
  <c r="D3722" i="1"/>
  <c r="C3722" i="1"/>
  <c r="B3722" i="1"/>
  <c r="K3720" i="1"/>
  <c r="H3720" i="1"/>
  <c r="G3720" i="1"/>
  <c r="E3720" i="1"/>
  <c r="E3719" i="1"/>
  <c r="J3718" i="1"/>
  <c r="E3718" i="1"/>
  <c r="E3717" i="1"/>
  <c r="J3716" i="1"/>
  <c r="I3716" i="1"/>
  <c r="H3716" i="1"/>
  <c r="G3716" i="1"/>
  <c r="F3716" i="1"/>
  <c r="J3715" i="1"/>
  <c r="I3715" i="1"/>
  <c r="H3715" i="1"/>
  <c r="G3715" i="1"/>
  <c r="F3715" i="1"/>
  <c r="J3714" i="1"/>
  <c r="I3714" i="1"/>
  <c r="H3714" i="1"/>
  <c r="G3714" i="1"/>
  <c r="F3714" i="1"/>
  <c r="C3713" i="1"/>
  <c r="AG3712" i="1"/>
  <c r="J3719" i="1" s="1"/>
  <c r="AF3712" i="1"/>
  <c r="AE3712" i="1"/>
  <c r="AD3712" i="1"/>
  <c r="AC3712" i="1"/>
  <c r="J3717" i="1" s="1"/>
  <c r="AB3712" i="1"/>
  <c r="E3712" i="1"/>
  <c r="D3712" i="1"/>
  <c r="C3712" i="1"/>
  <c r="B3712" i="1"/>
  <c r="K3710" i="1"/>
  <c r="H3710" i="1"/>
  <c r="G3710" i="1"/>
  <c r="E3710" i="1"/>
  <c r="E3709" i="1"/>
  <c r="E3708" i="1"/>
  <c r="AG3707" i="1"/>
  <c r="AF3707" i="1"/>
  <c r="AE3707" i="1"/>
  <c r="AD3707" i="1"/>
  <c r="AC3707" i="1"/>
  <c r="AB3707" i="1"/>
  <c r="J3707" i="1"/>
  <c r="I3707" i="1"/>
  <c r="H3707" i="1"/>
  <c r="F3707" i="1"/>
  <c r="E3707" i="1"/>
  <c r="D3707" i="1"/>
  <c r="C3707" i="1"/>
  <c r="B3707" i="1"/>
  <c r="J3706" i="1"/>
  <c r="I3706" i="1"/>
  <c r="H3706" i="1"/>
  <c r="G3706" i="1"/>
  <c r="F3706" i="1"/>
  <c r="J3705" i="1"/>
  <c r="I3705" i="1"/>
  <c r="H3705" i="1"/>
  <c r="G3705" i="1"/>
  <c r="F3705" i="1"/>
  <c r="C3704" i="1"/>
  <c r="AG3703" i="1"/>
  <c r="AF3703" i="1"/>
  <c r="AE3703" i="1"/>
  <c r="J3709" i="1" s="1"/>
  <c r="AD3703" i="1"/>
  <c r="AC3703" i="1"/>
  <c r="J3708" i="1" s="1"/>
  <c r="I3711" i="1" s="1"/>
  <c r="AB3703" i="1"/>
  <c r="E3703" i="1"/>
  <c r="D3703" i="1"/>
  <c r="C3703" i="1"/>
  <c r="B3703" i="1"/>
  <c r="A3702" i="1"/>
  <c r="A3699" i="1"/>
  <c r="A3696" i="1"/>
  <c r="K3693" i="1"/>
  <c r="H3693" i="1"/>
  <c r="G3693" i="1"/>
  <c r="E3693" i="1"/>
  <c r="E3692" i="1"/>
  <c r="E3691" i="1"/>
  <c r="J3690" i="1"/>
  <c r="I3690" i="1"/>
  <c r="H3690" i="1"/>
  <c r="G3690" i="1"/>
  <c r="F3690" i="1"/>
  <c r="C3689" i="1"/>
  <c r="AG3688" i="1"/>
  <c r="AF3688" i="1"/>
  <c r="AE3688" i="1"/>
  <c r="J3692" i="1" s="1"/>
  <c r="AD3688" i="1"/>
  <c r="AC3688" i="1"/>
  <c r="J3691" i="1" s="1"/>
  <c r="AB3688" i="1"/>
  <c r="E3688" i="1"/>
  <c r="D3688" i="1"/>
  <c r="C3688" i="1"/>
  <c r="B3688" i="1"/>
  <c r="A3687" i="1"/>
  <c r="A3684" i="1"/>
  <c r="K3681" i="1"/>
  <c r="H3681" i="1"/>
  <c r="G3681" i="1"/>
  <c r="E3681" i="1"/>
  <c r="E3680" i="1"/>
  <c r="E3679" i="1"/>
  <c r="AG3678" i="1"/>
  <c r="AF3678" i="1"/>
  <c r="AE3678" i="1"/>
  <c r="AD3678" i="1"/>
  <c r="AC3678" i="1"/>
  <c r="AB3678" i="1"/>
  <c r="J3678" i="1"/>
  <c r="I3678" i="1"/>
  <c r="H3678" i="1"/>
  <c r="F3678" i="1"/>
  <c r="E3678" i="1"/>
  <c r="D3678" i="1"/>
  <c r="C3678" i="1"/>
  <c r="B3678" i="1"/>
  <c r="J3677" i="1"/>
  <c r="I3677" i="1"/>
  <c r="H3677" i="1"/>
  <c r="G3677" i="1"/>
  <c r="F3677" i="1"/>
  <c r="J3676" i="1"/>
  <c r="I3676" i="1"/>
  <c r="H3676" i="1"/>
  <c r="G3676" i="1"/>
  <c r="F3676" i="1"/>
  <c r="C3675" i="1"/>
  <c r="AG3674" i="1"/>
  <c r="AF3674" i="1"/>
  <c r="AE3674" i="1"/>
  <c r="J3680" i="1" s="1"/>
  <c r="AD3674" i="1"/>
  <c r="AC3674" i="1"/>
  <c r="J3679" i="1" s="1"/>
  <c r="AB3674" i="1"/>
  <c r="E3674" i="1"/>
  <c r="D3674" i="1"/>
  <c r="C3674" i="1"/>
  <c r="B3674" i="1"/>
  <c r="K3672" i="1"/>
  <c r="H3672" i="1"/>
  <c r="G3672" i="1"/>
  <c r="E3672" i="1"/>
  <c r="E3671" i="1"/>
  <c r="E3670" i="1"/>
  <c r="J3669" i="1"/>
  <c r="I3669" i="1"/>
  <c r="H3669" i="1"/>
  <c r="G3669" i="1"/>
  <c r="F3669" i="1"/>
  <c r="C3668" i="1"/>
  <c r="AG3667" i="1"/>
  <c r="AF3667" i="1"/>
  <c r="AE3667" i="1"/>
  <c r="J3671" i="1" s="1"/>
  <c r="I3673" i="1" s="1"/>
  <c r="K3673" i="1" s="1"/>
  <c r="AD3667" i="1"/>
  <c r="AC3667" i="1"/>
  <c r="J3670" i="1" s="1"/>
  <c r="AB3667" i="1"/>
  <c r="E3667" i="1"/>
  <c r="D3667" i="1"/>
  <c r="C3667" i="1"/>
  <c r="B3667" i="1"/>
  <c r="K3665" i="1"/>
  <c r="H3665" i="1"/>
  <c r="G3665" i="1"/>
  <c r="E3665" i="1"/>
  <c r="E3664" i="1"/>
  <c r="E3663" i="1"/>
  <c r="J3662" i="1"/>
  <c r="I3662" i="1"/>
  <c r="H3662" i="1"/>
  <c r="G3662" i="1"/>
  <c r="F3662" i="1"/>
  <c r="C3661" i="1"/>
  <c r="AG3660" i="1"/>
  <c r="AF3660" i="1"/>
  <c r="AE3660" i="1"/>
  <c r="J3664" i="1" s="1"/>
  <c r="AD3660" i="1"/>
  <c r="AC3660" i="1"/>
  <c r="J3663" i="1" s="1"/>
  <c r="AB3660" i="1"/>
  <c r="E3660" i="1"/>
  <c r="D3660" i="1"/>
  <c r="C3660" i="1"/>
  <c r="B3660" i="1"/>
  <c r="A3659" i="1"/>
  <c r="A3657" i="1"/>
  <c r="A3654" i="1"/>
  <c r="A3651" i="1"/>
  <c r="K3648" i="1"/>
  <c r="H3648" i="1"/>
  <c r="G3648" i="1"/>
  <c r="E3648" i="1"/>
  <c r="E3647" i="1"/>
  <c r="E3646" i="1"/>
  <c r="AG3645" i="1"/>
  <c r="AF3645" i="1"/>
  <c r="AE3645" i="1"/>
  <c r="AD3645" i="1"/>
  <c r="AC3645" i="1"/>
  <c r="AB3645" i="1"/>
  <c r="J3645" i="1"/>
  <c r="I3645" i="1"/>
  <c r="H3645" i="1"/>
  <c r="F3645" i="1"/>
  <c r="E3645" i="1"/>
  <c r="D3645" i="1"/>
  <c r="C3645" i="1"/>
  <c r="B3645" i="1"/>
  <c r="J3644" i="1"/>
  <c r="I3644" i="1"/>
  <c r="H3644" i="1"/>
  <c r="G3644" i="1"/>
  <c r="F3644" i="1"/>
  <c r="J3643" i="1"/>
  <c r="I3643" i="1"/>
  <c r="H3643" i="1"/>
  <c r="G3643" i="1"/>
  <c r="F3643" i="1"/>
  <c r="C3642" i="1"/>
  <c r="AG3641" i="1"/>
  <c r="AF3641" i="1"/>
  <c r="AE3641" i="1"/>
  <c r="J3647" i="1" s="1"/>
  <c r="AD3641" i="1"/>
  <c r="AC3641" i="1"/>
  <c r="J3646" i="1" s="1"/>
  <c r="I3649" i="1" s="1"/>
  <c r="AB3641" i="1"/>
  <c r="E3641" i="1"/>
  <c r="D3641" i="1"/>
  <c r="C3641" i="1"/>
  <c r="B3641" i="1"/>
  <c r="K3639" i="1"/>
  <c r="H3639" i="1"/>
  <c r="G3639" i="1"/>
  <c r="E3639" i="1"/>
  <c r="E3638" i="1"/>
  <c r="E3637" i="1"/>
  <c r="J3636" i="1"/>
  <c r="I3636" i="1"/>
  <c r="H3636" i="1"/>
  <c r="G3636" i="1"/>
  <c r="F3636" i="1"/>
  <c r="C3635" i="1"/>
  <c r="AG3634" i="1"/>
  <c r="AF3634" i="1"/>
  <c r="AE3634" i="1"/>
  <c r="J3638" i="1" s="1"/>
  <c r="AD3634" i="1"/>
  <c r="AC3634" i="1"/>
  <c r="J3637" i="1" s="1"/>
  <c r="I3640" i="1" s="1"/>
  <c r="AB3634" i="1"/>
  <c r="E3634" i="1"/>
  <c r="D3634" i="1"/>
  <c r="C3634" i="1"/>
  <c r="B3634" i="1"/>
  <c r="A3633" i="1"/>
  <c r="A3630" i="1"/>
  <c r="K3627" i="1"/>
  <c r="H3627" i="1"/>
  <c r="G3627" i="1"/>
  <c r="E3627" i="1"/>
  <c r="J3626" i="1"/>
  <c r="E3626" i="1"/>
  <c r="E3625" i="1"/>
  <c r="AG3624" i="1"/>
  <c r="AF3624" i="1"/>
  <c r="AE3624" i="1"/>
  <c r="AD3624" i="1"/>
  <c r="AC3624" i="1"/>
  <c r="J3625" i="1" s="1"/>
  <c r="AB3624" i="1"/>
  <c r="J3624" i="1"/>
  <c r="I3624" i="1"/>
  <c r="H3624" i="1"/>
  <c r="F3624" i="1"/>
  <c r="E3624" i="1"/>
  <c r="D3624" i="1"/>
  <c r="C3624" i="1"/>
  <c r="B3624" i="1"/>
  <c r="J3623" i="1"/>
  <c r="I3623" i="1"/>
  <c r="H3623" i="1"/>
  <c r="G3623" i="1"/>
  <c r="F3623" i="1"/>
  <c r="J3622" i="1"/>
  <c r="I3622" i="1"/>
  <c r="H3622" i="1"/>
  <c r="G3622" i="1"/>
  <c r="F3622" i="1"/>
  <c r="C3621" i="1"/>
  <c r="AG3620" i="1"/>
  <c r="AF3620" i="1"/>
  <c r="AE3620" i="1"/>
  <c r="AD3620" i="1"/>
  <c r="AC3620" i="1"/>
  <c r="AB3620" i="1"/>
  <c r="E3620" i="1"/>
  <c r="D3620" i="1"/>
  <c r="C3620" i="1"/>
  <c r="B3620" i="1"/>
  <c r="K3618" i="1"/>
  <c r="H3618" i="1"/>
  <c r="G3618" i="1"/>
  <c r="E3618" i="1"/>
  <c r="J3617" i="1"/>
  <c r="E3617" i="1"/>
  <c r="E3616" i="1"/>
  <c r="J3615" i="1"/>
  <c r="I3615" i="1"/>
  <c r="H3615" i="1"/>
  <c r="G3615" i="1"/>
  <c r="F3615" i="1"/>
  <c r="C3614" i="1"/>
  <c r="AG3613" i="1"/>
  <c r="AF3613" i="1"/>
  <c r="AE3613" i="1"/>
  <c r="AD3613" i="1"/>
  <c r="AC3613" i="1"/>
  <c r="J3616" i="1" s="1"/>
  <c r="AB3613" i="1"/>
  <c r="E3613" i="1"/>
  <c r="D3613" i="1"/>
  <c r="C3613" i="1"/>
  <c r="B3613" i="1"/>
  <c r="A3612" i="1"/>
  <c r="A3610" i="1"/>
  <c r="A3607" i="1"/>
  <c r="A3604" i="1"/>
  <c r="K3601" i="1"/>
  <c r="H3601" i="1"/>
  <c r="G3601" i="1"/>
  <c r="E3601" i="1"/>
  <c r="E3600" i="1"/>
  <c r="E3599" i="1"/>
  <c r="AG3598" i="1"/>
  <c r="AF3598" i="1"/>
  <c r="AE3598" i="1"/>
  <c r="AD3598" i="1"/>
  <c r="AC3598" i="1"/>
  <c r="AB3598" i="1"/>
  <c r="J3598" i="1"/>
  <c r="I3598" i="1"/>
  <c r="H3598" i="1"/>
  <c r="F3598" i="1"/>
  <c r="E3598" i="1"/>
  <c r="D3598" i="1"/>
  <c r="C3598" i="1"/>
  <c r="B3598" i="1"/>
  <c r="J3597" i="1"/>
  <c r="I3597" i="1"/>
  <c r="H3597" i="1"/>
  <c r="G3597" i="1"/>
  <c r="F3597" i="1"/>
  <c r="J3596" i="1"/>
  <c r="I3602" i="1" s="1"/>
  <c r="I3596" i="1"/>
  <c r="H3596" i="1"/>
  <c r="G3596" i="1"/>
  <c r="F3596" i="1"/>
  <c r="C3595" i="1"/>
  <c r="AG3594" i="1"/>
  <c r="AF3594" i="1"/>
  <c r="AE3594" i="1"/>
  <c r="J3600" i="1" s="1"/>
  <c r="AD3594" i="1"/>
  <c r="AC3594" i="1"/>
  <c r="J3599" i="1" s="1"/>
  <c r="AB3594" i="1"/>
  <c r="E3594" i="1"/>
  <c r="D3594" i="1"/>
  <c r="C3594" i="1"/>
  <c r="B3594" i="1"/>
  <c r="AA3593" i="1"/>
  <c r="I3593" i="1"/>
  <c r="K3593" i="1" s="1"/>
  <c r="J3592" i="1"/>
  <c r="I3592" i="1"/>
  <c r="H3592" i="1"/>
  <c r="G3592" i="1"/>
  <c r="F3592" i="1"/>
  <c r="AG3591" i="1"/>
  <c r="AF3591" i="1"/>
  <c r="AE3591" i="1"/>
  <c r="AD3591" i="1"/>
  <c r="AC3591" i="1"/>
  <c r="AB3591" i="1"/>
  <c r="E3591" i="1"/>
  <c r="D3591" i="1"/>
  <c r="C3591" i="1"/>
  <c r="B3591" i="1"/>
  <c r="A3590" i="1"/>
  <c r="A3587" i="1"/>
  <c r="I3585" i="1"/>
  <c r="K3584" i="1"/>
  <c r="H3584" i="1"/>
  <c r="G3584" i="1"/>
  <c r="E3584" i="1"/>
  <c r="E3583" i="1"/>
  <c r="E3582" i="1"/>
  <c r="J3581" i="1"/>
  <c r="I3581" i="1"/>
  <c r="H3581" i="1"/>
  <c r="G3581" i="1"/>
  <c r="F3581" i="1"/>
  <c r="C3580" i="1"/>
  <c r="AG3579" i="1"/>
  <c r="AF3579" i="1"/>
  <c r="AE3579" i="1"/>
  <c r="J3583" i="1" s="1"/>
  <c r="AD3579" i="1"/>
  <c r="AC3579" i="1"/>
  <c r="J3582" i="1" s="1"/>
  <c r="AB3579" i="1"/>
  <c r="E3579" i="1"/>
  <c r="D3579" i="1"/>
  <c r="C3579" i="1"/>
  <c r="B3579" i="1"/>
  <c r="A3578" i="1"/>
  <c r="A3576" i="1"/>
  <c r="AQ3573" i="1"/>
  <c r="A3573" i="1"/>
  <c r="A3570" i="1"/>
  <c r="K3567" i="1"/>
  <c r="H3567" i="1"/>
  <c r="G3567" i="1"/>
  <c r="E3567" i="1"/>
  <c r="E3566" i="1"/>
  <c r="E3565" i="1"/>
  <c r="AG3564" i="1"/>
  <c r="AF3564" i="1"/>
  <c r="AE3564" i="1"/>
  <c r="AD3564" i="1"/>
  <c r="AC3564" i="1"/>
  <c r="AB3564" i="1"/>
  <c r="J3564" i="1"/>
  <c r="I3564" i="1"/>
  <c r="H3564" i="1"/>
  <c r="F3564" i="1"/>
  <c r="E3564" i="1"/>
  <c r="D3564" i="1"/>
  <c r="C3564" i="1"/>
  <c r="B3564" i="1"/>
  <c r="J3563" i="1"/>
  <c r="I3563" i="1"/>
  <c r="H3563" i="1"/>
  <c r="G3563" i="1"/>
  <c r="F3563" i="1"/>
  <c r="J3562" i="1"/>
  <c r="I3568" i="1" s="1"/>
  <c r="I3562" i="1"/>
  <c r="H3562" i="1"/>
  <c r="G3562" i="1"/>
  <c r="F3562" i="1"/>
  <c r="C3561" i="1"/>
  <c r="AG3560" i="1"/>
  <c r="AF3560" i="1"/>
  <c r="AE3560" i="1"/>
  <c r="J3566" i="1" s="1"/>
  <c r="AD3560" i="1"/>
  <c r="AC3560" i="1"/>
  <c r="J3565" i="1" s="1"/>
  <c r="AB3560" i="1"/>
  <c r="E3560" i="1"/>
  <c r="D3560" i="1"/>
  <c r="C3560" i="1"/>
  <c r="B3560" i="1"/>
  <c r="K3558" i="1"/>
  <c r="H3558" i="1"/>
  <c r="G3558" i="1"/>
  <c r="E3558" i="1"/>
  <c r="E3557" i="1"/>
  <c r="E3556" i="1"/>
  <c r="J3555" i="1"/>
  <c r="I3555" i="1"/>
  <c r="H3555" i="1"/>
  <c r="G3555" i="1"/>
  <c r="F3555" i="1"/>
  <c r="C3554" i="1"/>
  <c r="AG3553" i="1"/>
  <c r="AF3553" i="1"/>
  <c r="AE3553" i="1"/>
  <c r="J3557" i="1" s="1"/>
  <c r="AD3553" i="1"/>
  <c r="AC3553" i="1"/>
  <c r="J3556" i="1" s="1"/>
  <c r="I3559" i="1" s="1"/>
  <c r="AB3553" i="1"/>
  <c r="E3553" i="1"/>
  <c r="D3553" i="1"/>
  <c r="C3553" i="1"/>
  <c r="B3553" i="1"/>
  <c r="K3551" i="1"/>
  <c r="H3551" i="1"/>
  <c r="G3551" i="1"/>
  <c r="E3551" i="1"/>
  <c r="E3550" i="1"/>
  <c r="E3549" i="1"/>
  <c r="J3548" i="1"/>
  <c r="I3548" i="1"/>
  <c r="H3548" i="1"/>
  <c r="G3548" i="1"/>
  <c r="F3548" i="1"/>
  <c r="C3547" i="1"/>
  <c r="AG3546" i="1"/>
  <c r="AF3546" i="1"/>
  <c r="AE3546" i="1"/>
  <c r="J3550" i="1" s="1"/>
  <c r="AD3546" i="1"/>
  <c r="AC3546" i="1"/>
  <c r="J3549" i="1" s="1"/>
  <c r="AB3546" i="1"/>
  <c r="E3546" i="1"/>
  <c r="D3546" i="1"/>
  <c r="C3546" i="1"/>
  <c r="B3546" i="1"/>
  <c r="A3545" i="1"/>
  <c r="A3543" i="1"/>
  <c r="A3540" i="1"/>
  <c r="A3537" i="1"/>
  <c r="AA3535" i="1"/>
  <c r="I3537" i="1" s="1"/>
  <c r="K3534" i="1"/>
  <c r="H3534" i="1"/>
  <c r="G3534" i="1"/>
  <c r="E3534" i="1"/>
  <c r="E3533" i="1"/>
  <c r="E3532" i="1"/>
  <c r="J3531" i="1"/>
  <c r="I3531" i="1"/>
  <c r="H3531" i="1"/>
  <c r="G3531" i="1"/>
  <c r="F3531" i="1"/>
  <c r="C3530" i="1"/>
  <c r="AG3529" i="1"/>
  <c r="AF3529" i="1"/>
  <c r="AE3529" i="1"/>
  <c r="J3533" i="1" s="1"/>
  <c r="I3535" i="1" s="1"/>
  <c r="K3535" i="1" s="1"/>
  <c r="AD3529" i="1"/>
  <c r="AC3529" i="1"/>
  <c r="J3532" i="1" s="1"/>
  <c r="AB3529" i="1"/>
  <c r="E3529" i="1"/>
  <c r="D3529" i="1"/>
  <c r="C3529" i="1"/>
  <c r="B3529" i="1"/>
  <c r="A3528" i="1"/>
  <c r="A3525" i="1"/>
  <c r="K3522" i="1"/>
  <c r="H3522" i="1"/>
  <c r="G3522" i="1"/>
  <c r="E3522" i="1"/>
  <c r="E3521" i="1"/>
  <c r="J3520" i="1"/>
  <c r="E3520" i="1"/>
  <c r="AG3519" i="1"/>
  <c r="AF3519" i="1"/>
  <c r="AE3519" i="1"/>
  <c r="J3521" i="1" s="1"/>
  <c r="AD3519" i="1"/>
  <c r="AC3519" i="1"/>
  <c r="AB3519" i="1"/>
  <c r="J3519" i="1"/>
  <c r="I3519" i="1"/>
  <c r="H3519" i="1"/>
  <c r="F3519" i="1"/>
  <c r="E3519" i="1"/>
  <c r="D3519" i="1"/>
  <c r="C3519" i="1"/>
  <c r="B3519" i="1"/>
  <c r="J3518" i="1"/>
  <c r="I3518" i="1"/>
  <c r="H3518" i="1"/>
  <c r="G3518" i="1"/>
  <c r="F3518" i="1"/>
  <c r="J3517" i="1"/>
  <c r="I3517" i="1"/>
  <c r="H3517" i="1"/>
  <c r="G3517" i="1"/>
  <c r="F3517" i="1"/>
  <c r="C3516" i="1"/>
  <c r="AG3515" i="1"/>
  <c r="AF3515" i="1"/>
  <c r="AE3515" i="1"/>
  <c r="AD3515" i="1"/>
  <c r="AC3515" i="1"/>
  <c r="AB3515" i="1"/>
  <c r="E3515" i="1"/>
  <c r="D3515" i="1"/>
  <c r="C3515" i="1"/>
  <c r="B3515" i="1"/>
  <c r="K3513" i="1"/>
  <c r="H3513" i="1"/>
  <c r="G3513" i="1"/>
  <c r="E3513" i="1"/>
  <c r="E3512" i="1"/>
  <c r="J3511" i="1"/>
  <c r="E3511" i="1"/>
  <c r="E3510" i="1"/>
  <c r="AG3509" i="1"/>
  <c r="J3512" i="1" s="1"/>
  <c r="AF3509" i="1"/>
  <c r="AE3509" i="1"/>
  <c r="AD3509" i="1"/>
  <c r="AC3509" i="1"/>
  <c r="J3510" i="1" s="1"/>
  <c r="AB3509" i="1"/>
  <c r="J3509" i="1"/>
  <c r="I3509" i="1"/>
  <c r="H3509" i="1"/>
  <c r="F3509" i="1"/>
  <c r="E3509" i="1"/>
  <c r="D3509" i="1"/>
  <c r="C3509" i="1"/>
  <c r="B3509" i="1"/>
  <c r="J3508" i="1"/>
  <c r="I3508" i="1"/>
  <c r="H3508" i="1"/>
  <c r="G3508" i="1"/>
  <c r="F3508" i="1"/>
  <c r="J3507" i="1"/>
  <c r="I3507" i="1"/>
  <c r="H3507" i="1"/>
  <c r="G3507" i="1"/>
  <c r="F3507" i="1"/>
  <c r="J3506" i="1"/>
  <c r="I3506" i="1"/>
  <c r="H3506" i="1"/>
  <c r="G3506" i="1"/>
  <c r="F3506" i="1"/>
  <c r="J3505" i="1"/>
  <c r="I3505" i="1"/>
  <c r="H3505" i="1"/>
  <c r="G3505" i="1"/>
  <c r="F3505" i="1"/>
  <c r="C3504" i="1"/>
  <c r="AG3503" i="1"/>
  <c r="AF3503" i="1"/>
  <c r="AE3503" i="1"/>
  <c r="AD3503" i="1"/>
  <c r="AC3503" i="1"/>
  <c r="AB3503" i="1"/>
  <c r="E3503" i="1"/>
  <c r="D3503" i="1"/>
  <c r="C3503" i="1"/>
  <c r="B3503" i="1"/>
  <c r="A3502" i="1"/>
  <c r="A3499" i="1"/>
  <c r="K3496" i="1"/>
  <c r="H3496" i="1"/>
  <c r="G3496" i="1"/>
  <c r="E3496" i="1"/>
  <c r="E3495" i="1"/>
  <c r="E3494" i="1"/>
  <c r="J3493" i="1"/>
  <c r="I3493" i="1"/>
  <c r="H3493" i="1"/>
  <c r="G3493" i="1"/>
  <c r="F3493" i="1"/>
  <c r="C3492" i="1"/>
  <c r="AG3491" i="1"/>
  <c r="AF3491" i="1"/>
  <c r="AE3491" i="1"/>
  <c r="J3495" i="1" s="1"/>
  <c r="AD3491" i="1"/>
  <c r="AC3491" i="1"/>
  <c r="J3494" i="1" s="1"/>
  <c r="AB3491" i="1"/>
  <c r="E3491" i="1"/>
  <c r="D3491" i="1"/>
  <c r="C3491" i="1"/>
  <c r="B3491" i="1"/>
  <c r="A3490" i="1"/>
  <c r="A3487" i="1"/>
  <c r="K3484" i="1"/>
  <c r="H3484" i="1"/>
  <c r="G3484" i="1"/>
  <c r="E3484" i="1"/>
  <c r="E3483" i="1"/>
  <c r="E3482" i="1"/>
  <c r="AG3481" i="1"/>
  <c r="AF3481" i="1"/>
  <c r="AE3481" i="1"/>
  <c r="AD3481" i="1"/>
  <c r="AC3481" i="1"/>
  <c r="AB3481" i="1"/>
  <c r="J3481" i="1"/>
  <c r="I3481" i="1"/>
  <c r="H3481" i="1"/>
  <c r="F3481" i="1"/>
  <c r="E3481" i="1"/>
  <c r="D3481" i="1"/>
  <c r="C3481" i="1"/>
  <c r="B3481" i="1"/>
  <c r="J3480" i="1"/>
  <c r="I3480" i="1"/>
  <c r="H3480" i="1"/>
  <c r="G3480" i="1"/>
  <c r="F3480" i="1"/>
  <c r="J3479" i="1"/>
  <c r="I3479" i="1"/>
  <c r="H3479" i="1"/>
  <c r="G3479" i="1"/>
  <c r="F3479" i="1"/>
  <c r="C3478" i="1"/>
  <c r="AG3477" i="1"/>
  <c r="AF3477" i="1"/>
  <c r="AE3477" i="1"/>
  <c r="J3483" i="1" s="1"/>
  <c r="AD3477" i="1"/>
  <c r="AC3477" i="1"/>
  <c r="J3482" i="1" s="1"/>
  <c r="I3485" i="1" s="1"/>
  <c r="K3485" i="1" s="1"/>
  <c r="AB3477" i="1"/>
  <c r="E3477" i="1"/>
  <c r="D3477" i="1"/>
  <c r="C3477" i="1"/>
  <c r="B3477" i="1"/>
  <c r="I3476" i="1"/>
  <c r="K3475" i="1"/>
  <c r="H3475" i="1"/>
  <c r="G3475" i="1"/>
  <c r="E3475" i="1"/>
  <c r="E3474" i="1"/>
  <c r="E3473" i="1"/>
  <c r="J3472" i="1"/>
  <c r="I3472" i="1"/>
  <c r="H3472" i="1"/>
  <c r="G3472" i="1"/>
  <c r="F3472" i="1"/>
  <c r="C3471" i="1"/>
  <c r="AG3470" i="1"/>
  <c r="AF3470" i="1"/>
  <c r="AE3470" i="1"/>
  <c r="J3474" i="1" s="1"/>
  <c r="AD3470" i="1"/>
  <c r="AC3470" i="1"/>
  <c r="J3473" i="1" s="1"/>
  <c r="AB3470" i="1"/>
  <c r="E3470" i="1"/>
  <c r="D3470" i="1"/>
  <c r="C3470" i="1"/>
  <c r="B3470" i="1"/>
  <c r="A3469" i="1"/>
  <c r="A3466" i="1"/>
  <c r="K3463" i="1"/>
  <c r="H3463" i="1"/>
  <c r="G3463" i="1"/>
  <c r="E3463" i="1"/>
  <c r="E3462" i="1"/>
  <c r="J3461" i="1"/>
  <c r="E3461" i="1"/>
  <c r="AG3460" i="1"/>
  <c r="AF3460" i="1"/>
  <c r="AE3460" i="1"/>
  <c r="AD3460" i="1"/>
  <c r="AC3460" i="1"/>
  <c r="AB3460" i="1"/>
  <c r="J3460" i="1"/>
  <c r="I3460" i="1"/>
  <c r="H3460" i="1"/>
  <c r="F3460" i="1"/>
  <c r="E3460" i="1"/>
  <c r="D3460" i="1"/>
  <c r="C3460" i="1"/>
  <c r="B3460" i="1"/>
  <c r="J3459" i="1"/>
  <c r="I3459" i="1"/>
  <c r="H3459" i="1"/>
  <c r="G3459" i="1"/>
  <c r="F3459" i="1"/>
  <c r="J3458" i="1"/>
  <c r="I3458" i="1"/>
  <c r="H3458" i="1"/>
  <c r="G3458" i="1"/>
  <c r="F3458" i="1"/>
  <c r="C3457" i="1"/>
  <c r="AG3456" i="1"/>
  <c r="AF3456" i="1"/>
  <c r="AE3456" i="1"/>
  <c r="AD3456" i="1"/>
  <c r="AC3456" i="1"/>
  <c r="AB3456" i="1"/>
  <c r="E3456" i="1"/>
  <c r="D3456" i="1"/>
  <c r="C3456" i="1"/>
  <c r="B3456" i="1"/>
  <c r="K3454" i="1"/>
  <c r="H3454" i="1"/>
  <c r="G3454" i="1"/>
  <c r="E3454" i="1"/>
  <c r="J3453" i="1"/>
  <c r="E3453" i="1"/>
  <c r="E3452" i="1"/>
  <c r="AG3451" i="1"/>
  <c r="AF3451" i="1"/>
  <c r="AE3451" i="1"/>
  <c r="AD3451" i="1"/>
  <c r="AC3451" i="1"/>
  <c r="AB3451" i="1"/>
  <c r="J3451" i="1"/>
  <c r="I3451" i="1"/>
  <c r="H3451" i="1"/>
  <c r="F3451" i="1"/>
  <c r="E3451" i="1"/>
  <c r="D3451" i="1"/>
  <c r="C3451" i="1"/>
  <c r="B3451" i="1"/>
  <c r="J3450" i="1"/>
  <c r="I3450" i="1"/>
  <c r="H3450" i="1"/>
  <c r="G3450" i="1"/>
  <c r="F3450" i="1"/>
  <c r="J3449" i="1"/>
  <c r="I3449" i="1"/>
  <c r="H3449" i="1"/>
  <c r="G3449" i="1"/>
  <c r="F3449" i="1"/>
  <c r="C3448" i="1"/>
  <c r="AG3447" i="1"/>
  <c r="AF3447" i="1"/>
  <c r="AE3447" i="1"/>
  <c r="AD3447" i="1"/>
  <c r="AC3447" i="1"/>
  <c r="AB3447" i="1"/>
  <c r="E3447" i="1"/>
  <c r="D3447" i="1"/>
  <c r="C3447" i="1"/>
  <c r="B3447" i="1"/>
  <c r="A3446" i="1"/>
  <c r="A3443" i="1"/>
  <c r="E3440" i="1"/>
  <c r="AG3439" i="1"/>
  <c r="AF3439" i="1"/>
  <c r="AE3439" i="1"/>
  <c r="AD3439" i="1"/>
  <c r="AC3439" i="1"/>
  <c r="AB3439" i="1"/>
  <c r="J3439" i="1"/>
  <c r="I3439" i="1"/>
  <c r="H3439" i="1"/>
  <c r="F3439" i="1"/>
  <c r="E3439" i="1"/>
  <c r="D3439" i="1"/>
  <c r="C3439" i="1"/>
  <c r="B3439" i="1"/>
  <c r="J3438" i="1"/>
  <c r="I3438" i="1"/>
  <c r="H3438" i="1"/>
  <c r="G3438" i="1"/>
  <c r="F3438" i="1"/>
  <c r="J3437" i="1"/>
  <c r="I3437" i="1"/>
  <c r="H3437" i="1"/>
  <c r="G3437" i="1"/>
  <c r="F3437" i="1"/>
  <c r="J3436" i="1"/>
  <c r="I3436" i="1"/>
  <c r="H3436" i="1"/>
  <c r="G3436" i="1"/>
  <c r="F3436" i="1"/>
  <c r="C3435" i="1"/>
  <c r="AG3434" i="1"/>
  <c r="J3440" i="1" s="1"/>
  <c r="AF3434" i="1"/>
  <c r="AE3434" i="1"/>
  <c r="AD3434" i="1"/>
  <c r="AC3434" i="1"/>
  <c r="AB3434" i="1"/>
  <c r="E3434" i="1"/>
  <c r="D3434" i="1"/>
  <c r="C3434" i="1"/>
  <c r="B3434" i="1"/>
  <c r="E3432" i="1"/>
  <c r="AG3431" i="1"/>
  <c r="AF3431" i="1"/>
  <c r="AE3431" i="1"/>
  <c r="AD3431" i="1"/>
  <c r="AC3431" i="1"/>
  <c r="AB3431" i="1"/>
  <c r="J3431" i="1"/>
  <c r="I3431" i="1"/>
  <c r="H3431" i="1"/>
  <c r="F3431" i="1"/>
  <c r="E3431" i="1"/>
  <c r="D3431" i="1"/>
  <c r="C3431" i="1"/>
  <c r="B3431" i="1"/>
  <c r="J3430" i="1"/>
  <c r="I3430" i="1"/>
  <c r="H3430" i="1"/>
  <c r="G3430" i="1"/>
  <c r="F3430" i="1"/>
  <c r="J3429" i="1"/>
  <c r="I3429" i="1"/>
  <c r="H3429" i="1"/>
  <c r="G3429" i="1"/>
  <c r="F3429" i="1"/>
  <c r="J3428" i="1"/>
  <c r="I3433" i="1" s="1"/>
  <c r="K3433" i="1" s="1"/>
  <c r="I3428" i="1"/>
  <c r="H3428" i="1"/>
  <c r="G3428" i="1"/>
  <c r="F3428" i="1"/>
  <c r="C3427" i="1"/>
  <c r="AG3426" i="1"/>
  <c r="J3432" i="1" s="1"/>
  <c r="AF3426" i="1"/>
  <c r="AE3426" i="1"/>
  <c r="AD3426" i="1"/>
  <c r="AC3426" i="1"/>
  <c r="AB3426" i="1"/>
  <c r="E3426" i="1"/>
  <c r="D3426" i="1"/>
  <c r="C3426" i="1"/>
  <c r="B3426" i="1"/>
  <c r="K3424" i="1"/>
  <c r="H3424" i="1"/>
  <c r="G3424" i="1"/>
  <c r="E3424" i="1"/>
  <c r="E3423" i="1"/>
  <c r="E3422" i="1"/>
  <c r="J3421" i="1"/>
  <c r="I3421" i="1"/>
  <c r="H3421" i="1"/>
  <c r="G3421" i="1"/>
  <c r="F3421" i="1"/>
  <c r="C3420" i="1"/>
  <c r="AG3419" i="1"/>
  <c r="AF3419" i="1"/>
  <c r="AE3419" i="1"/>
  <c r="J3423" i="1" s="1"/>
  <c r="AD3419" i="1"/>
  <c r="AC3419" i="1"/>
  <c r="J3422" i="1" s="1"/>
  <c r="AB3419" i="1"/>
  <c r="E3419" i="1"/>
  <c r="D3419" i="1"/>
  <c r="C3419" i="1"/>
  <c r="B3419" i="1"/>
  <c r="AA3418" i="1"/>
  <c r="K3417" i="1"/>
  <c r="H3417" i="1"/>
  <c r="G3417" i="1"/>
  <c r="E3417" i="1"/>
  <c r="E3416" i="1"/>
  <c r="E3415" i="1"/>
  <c r="J3414" i="1"/>
  <c r="I3414" i="1"/>
  <c r="H3414" i="1"/>
  <c r="G3414" i="1"/>
  <c r="F3414" i="1"/>
  <c r="C3413" i="1"/>
  <c r="AG3412" i="1"/>
  <c r="AF3412" i="1"/>
  <c r="AE3412" i="1"/>
  <c r="J3416" i="1" s="1"/>
  <c r="AD3412" i="1"/>
  <c r="AC3412" i="1"/>
  <c r="J3415" i="1" s="1"/>
  <c r="I3418" i="1" s="1"/>
  <c r="K3418" i="1" s="1"/>
  <c r="AB3412" i="1"/>
  <c r="E3412" i="1"/>
  <c r="D3412" i="1"/>
  <c r="C3412" i="1"/>
  <c r="B3412" i="1"/>
  <c r="E3410" i="1"/>
  <c r="AG3409" i="1"/>
  <c r="AF3409" i="1"/>
  <c r="AE3409" i="1"/>
  <c r="AD3409" i="1"/>
  <c r="AC3409" i="1"/>
  <c r="AB3409" i="1"/>
  <c r="J3409" i="1"/>
  <c r="I3409" i="1"/>
  <c r="H3409" i="1"/>
  <c r="F3409" i="1"/>
  <c r="E3409" i="1"/>
  <c r="D3409" i="1"/>
  <c r="C3409" i="1"/>
  <c r="B3409" i="1"/>
  <c r="J3408" i="1"/>
  <c r="I3408" i="1"/>
  <c r="H3408" i="1"/>
  <c r="G3408" i="1"/>
  <c r="F3408" i="1"/>
  <c r="J3407" i="1"/>
  <c r="I3407" i="1"/>
  <c r="H3407" i="1"/>
  <c r="G3407" i="1"/>
  <c r="F3407" i="1"/>
  <c r="J3406" i="1"/>
  <c r="I3406" i="1"/>
  <c r="H3406" i="1"/>
  <c r="G3406" i="1"/>
  <c r="F3406" i="1"/>
  <c r="C3405" i="1"/>
  <c r="AG3404" i="1"/>
  <c r="AF3404" i="1"/>
  <c r="AE3404" i="1"/>
  <c r="AD3404" i="1"/>
  <c r="AC3404" i="1"/>
  <c r="AB3404" i="1"/>
  <c r="E3404" i="1"/>
  <c r="D3404" i="1"/>
  <c r="C3404" i="1"/>
  <c r="B3404" i="1"/>
  <c r="A3403" i="1"/>
  <c r="A3401" i="1"/>
  <c r="A3398" i="1"/>
  <c r="AG3395" i="1"/>
  <c r="AF3395" i="1"/>
  <c r="AE3395" i="1"/>
  <c r="AD3395" i="1"/>
  <c r="AC3395" i="1"/>
  <c r="AB3395" i="1"/>
  <c r="J3395" i="1"/>
  <c r="I3395" i="1"/>
  <c r="H3395" i="1"/>
  <c r="F3395" i="1"/>
  <c r="E3395" i="1"/>
  <c r="D3395" i="1"/>
  <c r="C3395" i="1"/>
  <c r="B3395" i="1"/>
  <c r="J3394" i="1"/>
  <c r="I3396" i="1" s="1"/>
  <c r="I3394" i="1"/>
  <c r="H3394" i="1"/>
  <c r="G3394" i="1"/>
  <c r="F3394" i="1"/>
  <c r="AG3393" i="1"/>
  <c r="AF3393" i="1"/>
  <c r="AE3393" i="1"/>
  <c r="AD3393" i="1"/>
  <c r="AC3393" i="1"/>
  <c r="AB3393" i="1"/>
  <c r="E3393" i="1"/>
  <c r="D3393" i="1"/>
  <c r="C3393" i="1"/>
  <c r="B3393" i="1"/>
  <c r="A3392" i="1"/>
  <c r="A3389" i="1"/>
  <c r="AG3386" i="1"/>
  <c r="AF3386" i="1"/>
  <c r="AE3386" i="1"/>
  <c r="AD3386" i="1"/>
  <c r="AC3386" i="1"/>
  <c r="AB3386" i="1"/>
  <c r="J3386" i="1"/>
  <c r="I3386" i="1"/>
  <c r="H3386" i="1"/>
  <c r="F3386" i="1"/>
  <c r="E3386" i="1"/>
  <c r="D3386" i="1"/>
  <c r="C3386" i="1"/>
  <c r="B3386" i="1"/>
  <c r="J3385" i="1"/>
  <c r="I3387" i="1" s="1"/>
  <c r="I3385" i="1"/>
  <c r="H3385" i="1"/>
  <c r="G3385" i="1"/>
  <c r="F3385" i="1"/>
  <c r="AG3384" i="1"/>
  <c r="AF3384" i="1"/>
  <c r="AE3384" i="1"/>
  <c r="AD3384" i="1"/>
  <c r="AC3384" i="1"/>
  <c r="AB3384" i="1"/>
  <c r="E3384" i="1"/>
  <c r="D3384" i="1"/>
  <c r="C3384" i="1"/>
  <c r="B3384" i="1"/>
  <c r="A3383" i="1"/>
  <c r="A3380" i="1"/>
  <c r="AG3377" i="1"/>
  <c r="AF3377" i="1"/>
  <c r="AE3377" i="1"/>
  <c r="AD3377" i="1"/>
  <c r="AC3377" i="1"/>
  <c r="AB3377" i="1"/>
  <c r="J3377" i="1"/>
  <c r="I3377" i="1"/>
  <c r="H3377" i="1"/>
  <c r="F3377" i="1"/>
  <c r="E3377" i="1"/>
  <c r="D3377" i="1"/>
  <c r="C3377" i="1"/>
  <c r="B3377" i="1"/>
  <c r="J3376" i="1"/>
  <c r="I3378" i="1" s="1"/>
  <c r="I3376" i="1"/>
  <c r="H3376" i="1"/>
  <c r="G3376" i="1"/>
  <c r="F3376" i="1"/>
  <c r="AG3375" i="1"/>
  <c r="AF3375" i="1"/>
  <c r="AE3375" i="1"/>
  <c r="AD3375" i="1"/>
  <c r="AC3375" i="1"/>
  <c r="AB3375" i="1"/>
  <c r="E3375" i="1"/>
  <c r="D3375" i="1"/>
  <c r="C3375" i="1"/>
  <c r="B3375" i="1"/>
  <c r="J3373" i="1"/>
  <c r="I3374" i="1" s="1"/>
  <c r="I3373" i="1"/>
  <c r="H3373" i="1"/>
  <c r="G3373" i="1"/>
  <c r="F3373" i="1"/>
  <c r="AG3372" i="1"/>
  <c r="AF3372" i="1"/>
  <c r="AE3372" i="1"/>
  <c r="AD3372" i="1"/>
  <c r="AC3372" i="1"/>
  <c r="AB3372" i="1"/>
  <c r="E3372" i="1"/>
  <c r="D3372" i="1"/>
  <c r="C3372" i="1"/>
  <c r="B3372" i="1"/>
  <c r="A3371" i="1"/>
  <c r="A3368" i="1"/>
  <c r="AG3365" i="1"/>
  <c r="AF3365" i="1"/>
  <c r="AE3365" i="1"/>
  <c r="AD3365" i="1"/>
  <c r="AC3365" i="1"/>
  <c r="AB3365" i="1"/>
  <c r="J3365" i="1"/>
  <c r="I3365" i="1"/>
  <c r="H3365" i="1"/>
  <c r="F3365" i="1"/>
  <c r="E3365" i="1"/>
  <c r="D3365" i="1"/>
  <c r="C3365" i="1"/>
  <c r="B3365" i="1"/>
  <c r="J3364" i="1"/>
  <c r="I3366" i="1" s="1"/>
  <c r="I3364" i="1"/>
  <c r="H3364" i="1"/>
  <c r="G3364" i="1"/>
  <c r="F3364" i="1"/>
  <c r="AG3363" i="1"/>
  <c r="AF3363" i="1"/>
  <c r="AE3363" i="1"/>
  <c r="AD3363" i="1"/>
  <c r="AC3363" i="1"/>
  <c r="AB3363" i="1"/>
  <c r="E3363" i="1"/>
  <c r="D3363" i="1"/>
  <c r="C3363" i="1"/>
  <c r="B3363" i="1"/>
  <c r="A3362" i="1"/>
  <c r="A3359" i="1"/>
  <c r="K3356" i="1"/>
  <c r="H3356" i="1"/>
  <c r="G3356" i="1"/>
  <c r="E3356" i="1"/>
  <c r="E3355" i="1"/>
  <c r="J3354" i="1"/>
  <c r="E3354" i="1"/>
  <c r="AG3353" i="1"/>
  <c r="AF3353" i="1"/>
  <c r="AE3353" i="1"/>
  <c r="AD3353" i="1"/>
  <c r="AC3353" i="1"/>
  <c r="AB3353" i="1"/>
  <c r="J3353" i="1"/>
  <c r="I3353" i="1"/>
  <c r="H3353" i="1"/>
  <c r="F3353" i="1"/>
  <c r="E3353" i="1"/>
  <c r="D3353" i="1"/>
  <c r="C3353" i="1"/>
  <c r="B3353" i="1"/>
  <c r="J3352" i="1"/>
  <c r="I3352" i="1"/>
  <c r="H3352" i="1"/>
  <c r="G3352" i="1"/>
  <c r="F3352" i="1"/>
  <c r="J3351" i="1"/>
  <c r="I3351" i="1"/>
  <c r="H3351" i="1"/>
  <c r="G3351" i="1"/>
  <c r="F3351" i="1"/>
  <c r="C3350" i="1"/>
  <c r="AG3349" i="1"/>
  <c r="AF3349" i="1"/>
  <c r="AE3349" i="1"/>
  <c r="AD3349" i="1"/>
  <c r="AC3349" i="1"/>
  <c r="AB3349" i="1"/>
  <c r="E3349" i="1"/>
  <c r="D3349" i="1"/>
  <c r="C3349" i="1"/>
  <c r="B3349" i="1"/>
  <c r="A3348" i="1"/>
  <c r="A3345" i="1"/>
  <c r="K3342" i="1"/>
  <c r="H3342" i="1"/>
  <c r="G3342" i="1"/>
  <c r="E3342" i="1"/>
  <c r="E3341" i="1"/>
  <c r="E3340" i="1"/>
  <c r="J3339" i="1"/>
  <c r="I3339" i="1"/>
  <c r="H3339" i="1"/>
  <c r="G3339" i="1"/>
  <c r="F3339" i="1"/>
  <c r="C3338" i="1"/>
  <c r="AG3337" i="1"/>
  <c r="AF3337" i="1"/>
  <c r="AE3337" i="1"/>
  <c r="J3341" i="1" s="1"/>
  <c r="AD3337" i="1"/>
  <c r="AC3337" i="1"/>
  <c r="J3340" i="1" s="1"/>
  <c r="AB3337" i="1"/>
  <c r="E3337" i="1"/>
  <c r="D3337" i="1"/>
  <c r="C3337" i="1"/>
  <c r="B3337" i="1"/>
  <c r="A3336" i="1"/>
  <c r="AQ3333" i="1"/>
  <c r="A3333" i="1"/>
  <c r="E3330" i="1"/>
  <c r="AG3329" i="1"/>
  <c r="AF3329" i="1"/>
  <c r="AE3329" i="1"/>
  <c r="AD3329" i="1"/>
  <c r="AC3329" i="1"/>
  <c r="AB3329" i="1"/>
  <c r="J3329" i="1"/>
  <c r="I3329" i="1"/>
  <c r="H3329" i="1"/>
  <c r="F3329" i="1"/>
  <c r="E3329" i="1"/>
  <c r="D3329" i="1"/>
  <c r="C3329" i="1"/>
  <c r="B3329" i="1"/>
  <c r="J3328" i="1"/>
  <c r="I3328" i="1"/>
  <c r="H3328" i="1"/>
  <c r="G3328" i="1"/>
  <c r="F3328" i="1"/>
  <c r="J3327" i="1"/>
  <c r="I3327" i="1"/>
  <c r="H3327" i="1"/>
  <c r="G3327" i="1"/>
  <c r="F3327" i="1"/>
  <c r="J3326" i="1"/>
  <c r="I3326" i="1"/>
  <c r="H3326" i="1"/>
  <c r="G3326" i="1"/>
  <c r="F3326" i="1"/>
  <c r="C3325" i="1"/>
  <c r="AG3324" i="1"/>
  <c r="J3330" i="1" s="1"/>
  <c r="AF3324" i="1"/>
  <c r="AE3324" i="1"/>
  <c r="AD3324" i="1"/>
  <c r="AC3324" i="1"/>
  <c r="AB3324" i="1"/>
  <c r="E3324" i="1"/>
  <c r="D3324" i="1"/>
  <c r="C3324" i="1"/>
  <c r="B3324" i="1"/>
  <c r="E3322" i="1"/>
  <c r="AG3321" i="1"/>
  <c r="AF3321" i="1"/>
  <c r="AE3321" i="1"/>
  <c r="AD3321" i="1"/>
  <c r="AC3321" i="1"/>
  <c r="AB3321" i="1"/>
  <c r="J3321" i="1"/>
  <c r="I3321" i="1"/>
  <c r="H3321" i="1"/>
  <c r="F3321" i="1"/>
  <c r="E3321" i="1"/>
  <c r="D3321" i="1"/>
  <c r="C3321" i="1"/>
  <c r="B3321" i="1"/>
  <c r="J3320" i="1"/>
  <c r="I3320" i="1"/>
  <c r="H3320" i="1"/>
  <c r="G3320" i="1"/>
  <c r="F3320" i="1"/>
  <c r="J3319" i="1"/>
  <c r="I3319" i="1"/>
  <c r="H3319" i="1"/>
  <c r="G3319" i="1"/>
  <c r="F3319" i="1"/>
  <c r="J3318" i="1"/>
  <c r="I3318" i="1"/>
  <c r="H3318" i="1"/>
  <c r="G3318" i="1"/>
  <c r="F3318" i="1"/>
  <c r="C3317" i="1"/>
  <c r="AG3316" i="1"/>
  <c r="J3322" i="1" s="1"/>
  <c r="I3323" i="1" s="1"/>
  <c r="AF3316" i="1"/>
  <c r="AE3316" i="1"/>
  <c r="AD3316" i="1"/>
  <c r="AC3316" i="1"/>
  <c r="AB3316" i="1"/>
  <c r="E3316" i="1"/>
  <c r="D3316" i="1"/>
  <c r="C3316" i="1"/>
  <c r="B3316" i="1"/>
  <c r="K3315" i="1"/>
  <c r="K3314" i="1"/>
  <c r="H3314" i="1"/>
  <c r="G3314" i="1"/>
  <c r="E3314" i="1"/>
  <c r="E3313" i="1"/>
  <c r="E3312" i="1"/>
  <c r="J3311" i="1"/>
  <c r="I3311" i="1"/>
  <c r="H3311" i="1"/>
  <c r="G3311" i="1"/>
  <c r="F3311" i="1"/>
  <c r="C3310" i="1"/>
  <c r="AG3309" i="1"/>
  <c r="AF3309" i="1"/>
  <c r="AE3309" i="1"/>
  <c r="J3313" i="1" s="1"/>
  <c r="AD3309" i="1"/>
  <c r="AC3309" i="1"/>
  <c r="J3312" i="1" s="1"/>
  <c r="I3315" i="1" s="1"/>
  <c r="AA3315" i="1" s="1"/>
  <c r="AB3309" i="1"/>
  <c r="E3309" i="1"/>
  <c r="D3309" i="1"/>
  <c r="C3309" i="1"/>
  <c r="B3309" i="1"/>
  <c r="I3308" i="1"/>
  <c r="K3307" i="1"/>
  <c r="H3307" i="1"/>
  <c r="G3307" i="1"/>
  <c r="E3307" i="1"/>
  <c r="E3306" i="1"/>
  <c r="E3305" i="1"/>
  <c r="J3304" i="1"/>
  <c r="I3304" i="1"/>
  <c r="H3304" i="1"/>
  <c r="G3304" i="1"/>
  <c r="F3304" i="1"/>
  <c r="C3303" i="1"/>
  <c r="AG3302" i="1"/>
  <c r="AF3302" i="1"/>
  <c r="AE3302" i="1"/>
  <c r="J3306" i="1" s="1"/>
  <c r="AD3302" i="1"/>
  <c r="AC3302" i="1"/>
  <c r="J3305" i="1" s="1"/>
  <c r="AB3302" i="1"/>
  <c r="E3302" i="1"/>
  <c r="D3302" i="1"/>
  <c r="C3302" i="1"/>
  <c r="B3302" i="1"/>
  <c r="E3300" i="1"/>
  <c r="AG3299" i="1"/>
  <c r="AF3299" i="1"/>
  <c r="AE3299" i="1"/>
  <c r="AD3299" i="1"/>
  <c r="AC3299" i="1"/>
  <c r="AB3299" i="1"/>
  <c r="J3299" i="1"/>
  <c r="I3299" i="1"/>
  <c r="H3299" i="1"/>
  <c r="F3299" i="1"/>
  <c r="E3299" i="1"/>
  <c r="D3299" i="1"/>
  <c r="C3299" i="1"/>
  <c r="B3299" i="1"/>
  <c r="J3298" i="1"/>
  <c r="I3298" i="1"/>
  <c r="H3298" i="1"/>
  <c r="G3298" i="1"/>
  <c r="F3298" i="1"/>
  <c r="J3297" i="1"/>
  <c r="I3297" i="1"/>
  <c r="H3297" i="1"/>
  <c r="G3297" i="1"/>
  <c r="F3297" i="1"/>
  <c r="J3296" i="1"/>
  <c r="I3296" i="1"/>
  <c r="H3296" i="1"/>
  <c r="G3296" i="1"/>
  <c r="F3296" i="1"/>
  <c r="C3295" i="1"/>
  <c r="AG3294" i="1"/>
  <c r="J3300" i="1" s="1"/>
  <c r="AF3294" i="1"/>
  <c r="AE3294" i="1"/>
  <c r="AD3294" i="1"/>
  <c r="AC3294" i="1"/>
  <c r="AB3294" i="1"/>
  <c r="E3294" i="1"/>
  <c r="D3294" i="1"/>
  <c r="C3294" i="1"/>
  <c r="B3294" i="1"/>
  <c r="A3293" i="1"/>
  <c r="AQ3290" i="1"/>
  <c r="L3290" i="1"/>
  <c r="A3290" i="1"/>
  <c r="AG3287" i="1"/>
  <c r="AF3287" i="1"/>
  <c r="AE3287" i="1"/>
  <c r="AD3287" i="1"/>
  <c r="AC3287" i="1"/>
  <c r="AB3287" i="1"/>
  <c r="J3287" i="1"/>
  <c r="I3287" i="1"/>
  <c r="H3287" i="1"/>
  <c r="F3287" i="1"/>
  <c r="E3287" i="1"/>
  <c r="D3287" i="1"/>
  <c r="C3287" i="1"/>
  <c r="B3287" i="1"/>
  <c r="J3286" i="1"/>
  <c r="I3288" i="1" s="1"/>
  <c r="AA3288" i="1" s="1"/>
  <c r="I3290" i="1" s="1"/>
  <c r="M3290" i="1" s="1"/>
  <c r="N3290" i="1" s="1"/>
  <c r="O3290" i="1" s="1"/>
  <c r="I3286" i="1"/>
  <c r="H3286" i="1"/>
  <c r="G3286" i="1"/>
  <c r="F3286" i="1"/>
  <c r="AG3285" i="1"/>
  <c r="AF3285" i="1"/>
  <c r="AE3285" i="1"/>
  <c r="AD3285" i="1"/>
  <c r="AC3285" i="1"/>
  <c r="AB3285" i="1"/>
  <c r="E3285" i="1"/>
  <c r="D3285" i="1"/>
  <c r="C3285" i="1"/>
  <c r="B3285" i="1"/>
  <c r="A3284" i="1"/>
  <c r="A3281" i="1"/>
  <c r="K3278" i="1"/>
  <c r="H3278" i="1"/>
  <c r="G3278" i="1"/>
  <c r="E3278" i="1"/>
  <c r="E3277" i="1"/>
  <c r="J3276" i="1"/>
  <c r="E3276" i="1"/>
  <c r="AG3275" i="1"/>
  <c r="AF3275" i="1"/>
  <c r="AE3275" i="1"/>
  <c r="AD3275" i="1"/>
  <c r="AC3275" i="1"/>
  <c r="AB3275" i="1"/>
  <c r="J3275" i="1"/>
  <c r="I3275" i="1"/>
  <c r="H3275" i="1"/>
  <c r="F3275" i="1"/>
  <c r="E3275" i="1"/>
  <c r="D3275" i="1"/>
  <c r="C3275" i="1"/>
  <c r="B3275" i="1"/>
  <c r="J3274" i="1"/>
  <c r="I3274" i="1"/>
  <c r="H3274" i="1"/>
  <c r="G3274" i="1"/>
  <c r="F3274" i="1"/>
  <c r="J3273" i="1"/>
  <c r="I3273" i="1"/>
  <c r="H3273" i="1"/>
  <c r="G3273" i="1"/>
  <c r="F3273" i="1"/>
  <c r="C3272" i="1"/>
  <c r="AG3271" i="1"/>
  <c r="AF3271" i="1"/>
  <c r="AE3271" i="1"/>
  <c r="AD3271" i="1"/>
  <c r="AC3271" i="1"/>
  <c r="AB3271" i="1"/>
  <c r="E3271" i="1"/>
  <c r="D3271" i="1"/>
  <c r="C3271" i="1"/>
  <c r="B3271" i="1"/>
  <c r="K3269" i="1"/>
  <c r="H3269" i="1"/>
  <c r="G3269" i="1"/>
  <c r="E3269" i="1"/>
  <c r="E3268" i="1"/>
  <c r="E3267" i="1"/>
  <c r="J3266" i="1"/>
  <c r="E3266" i="1"/>
  <c r="AG3265" i="1"/>
  <c r="AF3265" i="1"/>
  <c r="AE3265" i="1"/>
  <c r="AD3265" i="1"/>
  <c r="AC3265" i="1"/>
  <c r="AB3265" i="1"/>
  <c r="J3265" i="1"/>
  <c r="I3265" i="1"/>
  <c r="H3265" i="1"/>
  <c r="F3265" i="1"/>
  <c r="E3265" i="1"/>
  <c r="D3265" i="1"/>
  <c r="C3265" i="1"/>
  <c r="B3265" i="1"/>
  <c r="J3264" i="1"/>
  <c r="I3264" i="1"/>
  <c r="H3264" i="1"/>
  <c r="G3264" i="1"/>
  <c r="F3264" i="1"/>
  <c r="J3263" i="1"/>
  <c r="I3263" i="1"/>
  <c r="H3263" i="1"/>
  <c r="G3263" i="1"/>
  <c r="F3263" i="1"/>
  <c r="J3262" i="1"/>
  <c r="I3262" i="1"/>
  <c r="H3262" i="1"/>
  <c r="G3262" i="1"/>
  <c r="F3262" i="1"/>
  <c r="J3261" i="1"/>
  <c r="I3261" i="1"/>
  <c r="H3261" i="1"/>
  <c r="G3261" i="1"/>
  <c r="F3261" i="1"/>
  <c r="C3260" i="1"/>
  <c r="AG3259" i="1"/>
  <c r="J3268" i="1" s="1"/>
  <c r="AF3259" i="1"/>
  <c r="AE3259" i="1"/>
  <c r="J3267" i="1" s="1"/>
  <c r="AD3259" i="1"/>
  <c r="AC3259" i="1"/>
  <c r="AB3259" i="1"/>
  <c r="E3259" i="1"/>
  <c r="D3259" i="1"/>
  <c r="C3259" i="1"/>
  <c r="B3259" i="1"/>
  <c r="A3258" i="1"/>
  <c r="AQ3255" i="1"/>
  <c r="A3255" i="1"/>
  <c r="A3252" i="1"/>
  <c r="K3249" i="1"/>
  <c r="H3249" i="1"/>
  <c r="G3249" i="1"/>
  <c r="E3249" i="1"/>
  <c r="E3248" i="1"/>
  <c r="E3247" i="1"/>
  <c r="AG3246" i="1"/>
  <c r="AF3246" i="1"/>
  <c r="AE3246" i="1"/>
  <c r="AD3246" i="1"/>
  <c r="AC3246" i="1"/>
  <c r="AB3246" i="1"/>
  <c r="J3246" i="1"/>
  <c r="I3246" i="1"/>
  <c r="H3246" i="1"/>
  <c r="F3246" i="1"/>
  <c r="E3246" i="1"/>
  <c r="D3246" i="1"/>
  <c r="C3246" i="1"/>
  <c r="B3246" i="1"/>
  <c r="J3245" i="1"/>
  <c r="I3245" i="1"/>
  <c r="H3245" i="1"/>
  <c r="G3245" i="1"/>
  <c r="F3245" i="1"/>
  <c r="J3244" i="1"/>
  <c r="I3244" i="1"/>
  <c r="H3244" i="1"/>
  <c r="G3244" i="1"/>
  <c r="F3244" i="1"/>
  <c r="C3243" i="1"/>
  <c r="AG3242" i="1"/>
  <c r="AF3242" i="1"/>
  <c r="AE3242" i="1"/>
  <c r="J3248" i="1" s="1"/>
  <c r="AD3242" i="1"/>
  <c r="AC3242" i="1"/>
  <c r="J3247" i="1" s="1"/>
  <c r="I3250" i="1" s="1"/>
  <c r="AB3242" i="1"/>
  <c r="E3242" i="1"/>
  <c r="D3242" i="1"/>
  <c r="C3242" i="1"/>
  <c r="B3242" i="1"/>
  <c r="K3240" i="1"/>
  <c r="H3240" i="1"/>
  <c r="G3240" i="1"/>
  <c r="E3240" i="1"/>
  <c r="E3239" i="1"/>
  <c r="J3238" i="1"/>
  <c r="E3238" i="1"/>
  <c r="E3237" i="1"/>
  <c r="AG3236" i="1"/>
  <c r="AF3236" i="1"/>
  <c r="AE3236" i="1"/>
  <c r="AD3236" i="1"/>
  <c r="AC3236" i="1"/>
  <c r="AB3236" i="1"/>
  <c r="J3236" i="1"/>
  <c r="I3236" i="1"/>
  <c r="H3236" i="1"/>
  <c r="F3236" i="1"/>
  <c r="E3236" i="1"/>
  <c r="D3236" i="1"/>
  <c r="C3236" i="1"/>
  <c r="B3236" i="1"/>
  <c r="J3235" i="1"/>
  <c r="I3235" i="1"/>
  <c r="H3235" i="1"/>
  <c r="G3235" i="1"/>
  <c r="F3235" i="1"/>
  <c r="J3234" i="1"/>
  <c r="I3234" i="1"/>
  <c r="H3234" i="1"/>
  <c r="G3234" i="1"/>
  <c r="F3234" i="1"/>
  <c r="J3233" i="1"/>
  <c r="I3233" i="1"/>
  <c r="H3233" i="1"/>
  <c r="G3233" i="1"/>
  <c r="F3233" i="1"/>
  <c r="J3232" i="1"/>
  <c r="I3241" i="1" s="1"/>
  <c r="K3241" i="1" s="1"/>
  <c r="I3232" i="1"/>
  <c r="H3232" i="1"/>
  <c r="G3232" i="1"/>
  <c r="F3232" i="1"/>
  <c r="C3231" i="1"/>
  <c r="AG3230" i="1"/>
  <c r="J3239" i="1" s="1"/>
  <c r="AF3230" i="1"/>
  <c r="AE3230" i="1"/>
  <c r="AD3230" i="1"/>
  <c r="AC3230" i="1"/>
  <c r="J3237" i="1" s="1"/>
  <c r="AB3230" i="1"/>
  <c r="E3230" i="1"/>
  <c r="D3230" i="1"/>
  <c r="C3230" i="1"/>
  <c r="B3230" i="1"/>
  <c r="A3229" i="1"/>
  <c r="A3226" i="1"/>
  <c r="E3223" i="1"/>
  <c r="AG3222" i="1"/>
  <c r="AF3222" i="1"/>
  <c r="AE3222" i="1"/>
  <c r="AD3222" i="1"/>
  <c r="AC3222" i="1"/>
  <c r="AB3222" i="1"/>
  <c r="J3222" i="1"/>
  <c r="I3222" i="1"/>
  <c r="H3222" i="1"/>
  <c r="F3222" i="1"/>
  <c r="E3222" i="1"/>
  <c r="D3222" i="1"/>
  <c r="C3222" i="1"/>
  <c r="B3222" i="1"/>
  <c r="J3221" i="1"/>
  <c r="I3221" i="1"/>
  <c r="H3221" i="1"/>
  <c r="G3221" i="1"/>
  <c r="F3221" i="1"/>
  <c r="J3220" i="1"/>
  <c r="I3220" i="1"/>
  <c r="H3220" i="1"/>
  <c r="G3220" i="1"/>
  <c r="F3220" i="1"/>
  <c r="J3219" i="1"/>
  <c r="I3219" i="1"/>
  <c r="H3219" i="1"/>
  <c r="G3219" i="1"/>
  <c r="F3219" i="1"/>
  <c r="C3218" i="1"/>
  <c r="AG3217" i="1"/>
  <c r="J3223" i="1" s="1"/>
  <c r="I3224" i="1" s="1"/>
  <c r="AF3217" i="1"/>
  <c r="AE3217" i="1"/>
  <c r="AD3217" i="1"/>
  <c r="AC3217" i="1"/>
  <c r="AB3217" i="1"/>
  <c r="E3217" i="1"/>
  <c r="D3217" i="1"/>
  <c r="C3217" i="1"/>
  <c r="B3217" i="1"/>
  <c r="E3215" i="1"/>
  <c r="AG3214" i="1"/>
  <c r="AF3214" i="1"/>
  <c r="AE3214" i="1"/>
  <c r="AD3214" i="1"/>
  <c r="AC3214" i="1"/>
  <c r="AB3214" i="1"/>
  <c r="J3214" i="1"/>
  <c r="I3214" i="1"/>
  <c r="H3214" i="1"/>
  <c r="F3214" i="1"/>
  <c r="E3214" i="1"/>
  <c r="D3214" i="1"/>
  <c r="C3214" i="1"/>
  <c r="B3214" i="1"/>
  <c r="J3213" i="1"/>
  <c r="I3213" i="1"/>
  <c r="H3213" i="1"/>
  <c r="G3213" i="1"/>
  <c r="F3213" i="1"/>
  <c r="J3212" i="1"/>
  <c r="I3212" i="1"/>
  <c r="H3212" i="1"/>
  <c r="G3212" i="1"/>
  <c r="F3212" i="1"/>
  <c r="J3211" i="1"/>
  <c r="I3211" i="1"/>
  <c r="H3211" i="1"/>
  <c r="G3211" i="1"/>
  <c r="F3211" i="1"/>
  <c r="C3210" i="1"/>
  <c r="AG3209" i="1"/>
  <c r="AF3209" i="1"/>
  <c r="AE3209" i="1"/>
  <c r="AD3209" i="1"/>
  <c r="AC3209" i="1"/>
  <c r="AB3209" i="1"/>
  <c r="E3209" i="1"/>
  <c r="D3209" i="1"/>
  <c r="C3209" i="1"/>
  <c r="B3209" i="1"/>
  <c r="K3207" i="1"/>
  <c r="H3207" i="1"/>
  <c r="G3207" i="1"/>
  <c r="E3207" i="1"/>
  <c r="E3206" i="1"/>
  <c r="E3205" i="1"/>
  <c r="J3204" i="1"/>
  <c r="I3204" i="1"/>
  <c r="H3204" i="1"/>
  <c r="G3204" i="1"/>
  <c r="F3204" i="1"/>
  <c r="C3203" i="1"/>
  <c r="AG3202" i="1"/>
  <c r="AF3202" i="1"/>
  <c r="AE3202" i="1"/>
  <c r="J3206" i="1" s="1"/>
  <c r="AD3202" i="1"/>
  <c r="AC3202" i="1"/>
  <c r="J3205" i="1" s="1"/>
  <c r="AB3202" i="1"/>
  <c r="E3202" i="1"/>
  <c r="D3202" i="1"/>
  <c r="C3202" i="1"/>
  <c r="B3202" i="1"/>
  <c r="K3200" i="1"/>
  <c r="H3200" i="1"/>
  <c r="G3200" i="1"/>
  <c r="E3200" i="1"/>
  <c r="E3199" i="1"/>
  <c r="E3198" i="1"/>
  <c r="J3197" i="1"/>
  <c r="I3197" i="1"/>
  <c r="H3197" i="1"/>
  <c r="G3197" i="1"/>
  <c r="F3197" i="1"/>
  <c r="C3196" i="1"/>
  <c r="AG3195" i="1"/>
  <c r="AF3195" i="1"/>
  <c r="AE3195" i="1"/>
  <c r="J3199" i="1" s="1"/>
  <c r="AD3195" i="1"/>
  <c r="AC3195" i="1"/>
  <c r="J3198" i="1" s="1"/>
  <c r="I3201" i="1" s="1"/>
  <c r="AB3195" i="1"/>
  <c r="E3195" i="1"/>
  <c r="D3195" i="1"/>
  <c r="C3195" i="1"/>
  <c r="B3195" i="1"/>
  <c r="E3193" i="1"/>
  <c r="AG3192" i="1"/>
  <c r="AF3192" i="1"/>
  <c r="AE3192" i="1"/>
  <c r="AD3192" i="1"/>
  <c r="AC3192" i="1"/>
  <c r="AB3192" i="1"/>
  <c r="J3192" i="1"/>
  <c r="I3192" i="1"/>
  <c r="H3192" i="1"/>
  <c r="F3192" i="1"/>
  <c r="E3192" i="1"/>
  <c r="D3192" i="1"/>
  <c r="C3192" i="1"/>
  <c r="B3192" i="1"/>
  <c r="J3191" i="1"/>
  <c r="I3191" i="1"/>
  <c r="H3191" i="1"/>
  <c r="G3191" i="1"/>
  <c r="F3191" i="1"/>
  <c r="J3190" i="1"/>
  <c r="I3190" i="1"/>
  <c r="H3190" i="1"/>
  <c r="G3190" i="1"/>
  <c r="F3190" i="1"/>
  <c r="J3189" i="1"/>
  <c r="I3189" i="1"/>
  <c r="H3189" i="1"/>
  <c r="G3189" i="1"/>
  <c r="F3189" i="1"/>
  <c r="C3188" i="1"/>
  <c r="AG3187" i="1"/>
  <c r="J3193" i="1" s="1"/>
  <c r="I3194" i="1" s="1"/>
  <c r="AF3187" i="1"/>
  <c r="AE3187" i="1"/>
  <c r="AD3187" i="1"/>
  <c r="AC3187" i="1"/>
  <c r="AB3187" i="1"/>
  <c r="E3187" i="1"/>
  <c r="D3187" i="1"/>
  <c r="C3187" i="1"/>
  <c r="B3187" i="1"/>
  <c r="A3186" i="1"/>
  <c r="AP3184" i="1"/>
  <c r="A3184" i="1"/>
  <c r="A3181" i="1"/>
  <c r="K3178" i="1"/>
  <c r="H3178" i="1"/>
  <c r="G3178" i="1"/>
  <c r="E3178" i="1"/>
  <c r="E3177" i="1"/>
  <c r="E3176" i="1"/>
  <c r="AG3175" i="1"/>
  <c r="AF3175" i="1"/>
  <c r="AE3175" i="1"/>
  <c r="AD3175" i="1"/>
  <c r="AC3175" i="1"/>
  <c r="AB3175" i="1"/>
  <c r="J3175" i="1"/>
  <c r="I3175" i="1"/>
  <c r="H3175" i="1"/>
  <c r="F3175" i="1"/>
  <c r="E3175" i="1"/>
  <c r="D3175" i="1"/>
  <c r="C3175" i="1"/>
  <c r="B3175" i="1"/>
  <c r="AG3174" i="1"/>
  <c r="AF3174" i="1"/>
  <c r="AE3174" i="1"/>
  <c r="J3177" i="1" s="1"/>
  <c r="AD3174" i="1"/>
  <c r="AC3174" i="1"/>
  <c r="J3176" i="1" s="1"/>
  <c r="AB3174" i="1"/>
  <c r="J3174" i="1"/>
  <c r="I3174" i="1"/>
  <c r="H3174" i="1"/>
  <c r="F3174" i="1"/>
  <c r="E3174" i="1"/>
  <c r="D3174" i="1"/>
  <c r="C3174" i="1"/>
  <c r="B3174" i="1"/>
  <c r="J3173" i="1"/>
  <c r="I3173" i="1"/>
  <c r="H3173" i="1"/>
  <c r="G3173" i="1"/>
  <c r="F3173" i="1"/>
  <c r="J3172" i="1"/>
  <c r="I3172" i="1"/>
  <c r="H3172" i="1"/>
  <c r="G3172" i="1"/>
  <c r="F3172" i="1"/>
  <c r="C3171" i="1"/>
  <c r="AG3170" i="1"/>
  <c r="AF3170" i="1"/>
  <c r="AE3170" i="1"/>
  <c r="AD3170" i="1"/>
  <c r="AC3170" i="1"/>
  <c r="AB3170" i="1"/>
  <c r="E3170" i="1"/>
  <c r="D3170" i="1"/>
  <c r="C3170" i="1"/>
  <c r="B3170" i="1"/>
  <c r="K3168" i="1"/>
  <c r="H3168" i="1"/>
  <c r="G3168" i="1"/>
  <c r="E3168" i="1"/>
  <c r="E3167" i="1"/>
  <c r="E3166" i="1"/>
  <c r="AG3165" i="1"/>
  <c r="AF3165" i="1"/>
  <c r="AE3165" i="1"/>
  <c r="AD3165" i="1"/>
  <c r="AC3165" i="1"/>
  <c r="AB3165" i="1"/>
  <c r="J3165" i="1"/>
  <c r="I3165" i="1"/>
  <c r="H3165" i="1"/>
  <c r="F3165" i="1"/>
  <c r="E3165" i="1"/>
  <c r="D3165" i="1"/>
  <c r="C3165" i="1"/>
  <c r="B3165" i="1"/>
  <c r="AG3164" i="1"/>
  <c r="AF3164" i="1"/>
  <c r="AE3164" i="1"/>
  <c r="J3167" i="1" s="1"/>
  <c r="AD3164" i="1"/>
  <c r="AC3164" i="1"/>
  <c r="J3166" i="1" s="1"/>
  <c r="AB3164" i="1"/>
  <c r="J3164" i="1"/>
  <c r="I3164" i="1"/>
  <c r="H3164" i="1"/>
  <c r="F3164" i="1"/>
  <c r="E3164" i="1"/>
  <c r="D3164" i="1"/>
  <c r="C3164" i="1"/>
  <c r="B3164" i="1"/>
  <c r="J3163" i="1"/>
  <c r="I3163" i="1"/>
  <c r="H3163" i="1"/>
  <c r="G3163" i="1"/>
  <c r="F3163" i="1"/>
  <c r="J3162" i="1"/>
  <c r="I3162" i="1"/>
  <c r="H3162" i="1"/>
  <c r="G3162" i="1"/>
  <c r="F3162" i="1"/>
  <c r="C3161" i="1"/>
  <c r="AG3160" i="1"/>
  <c r="AF3160" i="1"/>
  <c r="AE3160" i="1"/>
  <c r="AD3160" i="1"/>
  <c r="AC3160" i="1"/>
  <c r="AB3160" i="1"/>
  <c r="E3160" i="1"/>
  <c r="D3160" i="1"/>
  <c r="C3160" i="1"/>
  <c r="B3160" i="1"/>
  <c r="A3159" i="1"/>
  <c r="A3156" i="1"/>
  <c r="K3153" i="1"/>
  <c r="H3153" i="1"/>
  <c r="G3153" i="1"/>
  <c r="E3153" i="1"/>
  <c r="J3152" i="1"/>
  <c r="E3152" i="1"/>
  <c r="E3151" i="1"/>
  <c r="AG3150" i="1"/>
  <c r="AF3150" i="1"/>
  <c r="AE3150" i="1"/>
  <c r="AD3150" i="1"/>
  <c r="AC3150" i="1"/>
  <c r="AB3150" i="1"/>
  <c r="J3150" i="1"/>
  <c r="I3150" i="1"/>
  <c r="H3150" i="1"/>
  <c r="F3150" i="1"/>
  <c r="E3150" i="1"/>
  <c r="D3150" i="1"/>
  <c r="C3150" i="1"/>
  <c r="B3150" i="1"/>
  <c r="J3149" i="1"/>
  <c r="I3149" i="1"/>
  <c r="H3149" i="1"/>
  <c r="G3149" i="1"/>
  <c r="F3149" i="1"/>
  <c r="J3148" i="1"/>
  <c r="I3148" i="1"/>
  <c r="H3148" i="1"/>
  <c r="G3148" i="1"/>
  <c r="F3148" i="1"/>
  <c r="C3147" i="1"/>
  <c r="AG3146" i="1"/>
  <c r="AF3146" i="1"/>
  <c r="AE3146" i="1"/>
  <c r="AD3146" i="1"/>
  <c r="AC3146" i="1"/>
  <c r="AB3146" i="1"/>
  <c r="E3146" i="1"/>
  <c r="D3146" i="1"/>
  <c r="C3146" i="1"/>
  <c r="B3146" i="1"/>
  <c r="K3144" i="1"/>
  <c r="H3144" i="1"/>
  <c r="G3144" i="1"/>
  <c r="E3144" i="1"/>
  <c r="E3143" i="1"/>
  <c r="E3142" i="1"/>
  <c r="J3141" i="1"/>
  <c r="I3141" i="1"/>
  <c r="H3141" i="1"/>
  <c r="G3141" i="1"/>
  <c r="F3141" i="1"/>
  <c r="C3140" i="1"/>
  <c r="AG3139" i="1"/>
  <c r="AF3139" i="1"/>
  <c r="AE3139" i="1"/>
  <c r="J3143" i="1" s="1"/>
  <c r="AD3139" i="1"/>
  <c r="AC3139" i="1"/>
  <c r="J3142" i="1" s="1"/>
  <c r="I3145" i="1" s="1"/>
  <c r="AB3139" i="1"/>
  <c r="E3139" i="1"/>
  <c r="D3139" i="1"/>
  <c r="C3139" i="1"/>
  <c r="B3139" i="1"/>
  <c r="A3138" i="1"/>
  <c r="A3135" i="1"/>
  <c r="K3132" i="1"/>
  <c r="H3132" i="1"/>
  <c r="G3132" i="1"/>
  <c r="E3132" i="1"/>
  <c r="E3131" i="1"/>
  <c r="E3130" i="1"/>
  <c r="AG3129" i="1"/>
  <c r="AF3129" i="1"/>
  <c r="AE3129" i="1"/>
  <c r="AD3129" i="1"/>
  <c r="AC3129" i="1"/>
  <c r="AB3129" i="1"/>
  <c r="J3129" i="1"/>
  <c r="I3129" i="1"/>
  <c r="H3129" i="1"/>
  <c r="F3129" i="1"/>
  <c r="E3129" i="1"/>
  <c r="D3129" i="1"/>
  <c r="C3129" i="1"/>
  <c r="B3129" i="1"/>
  <c r="J3128" i="1"/>
  <c r="I3128" i="1"/>
  <c r="H3128" i="1"/>
  <c r="G3128" i="1"/>
  <c r="F3128" i="1"/>
  <c r="J3127" i="1"/>
  <c r="I3127" i="1"/>
  <c r="H3127" i="1"/>
  <c r="G3127" i="1"/>
  <c r="F3127" i="1"/>
  <c r="C3126" i="1"/>
  <c r="AG3125" i="1"/>
  <c r="AF3125" i="1"/>
  <c r="AE3125" i="1"/>
  <c r="J3131" i="1" s="1"/>
  <c r="AD3125" i="1"/>
  <c r="AC3125" i="1"/>
  <c r="J3130" i="1" s="1"/>
  <c r="I3133" i="1" s="1"/>
  <c r="AB3125" i="1"/>
  <c r="E3125" i="1"/>
  <c r="D3125" i="1"/>
  <c r="C3125" i="1"/>
  <c r="B3125" i="1"/>
  <c r="K3123" i="1"/>
  <c r="H3123" i="1"/>
  <c r="G3123" i="1"/>
  <c r="E3123" i="1"/>
  <c r="E3122" i="1"/>
  <c r="E3121" i="1"/>
  <c r="AG3120" i="1"/>
  <c r="AF3120" i="1"/>
  <c r="AE3120" i="1"/>
  <c r="AD3120" i="1"/>
  <c r="AC3120" i="1"/>
  <c r="AB3120" i="1"/>
  <c r="J3120" i="1"/>
  <c r="I3120" i="1"/>
  <c r="H3120" i="1"/>
  <c r="F3120" i="1"/>
  <c r="E3120" i="1"/>
  <c r="D3120" i="1"/>
  <c r="C3120" i="1"/>
  <c r="B3120" i="1"/>
  <c r="J3119" i="1"/>
  <c r="I3119" i="1"/>
  <c r="H3119" i="1"/>
  <c r="G3119" i="1"/>
  <c r="F3119" i="1"/>
  <c r="J3118" i="1"/>
  <c r="I3118" i="1"/>
  <c r="H3118" i="1"/>
  <c r="G3118" i="1"/>
  <c r="F3118" i="1"/>
  <c r="C3117" i="1"/>
  <c r="AG3116" i="1"/>
  <c r="AF3116" i="1"/>
  <c r="AE3116" i="1"/>
  <c r="J3122" i="1" s="1"/>
  <c r="AD3116" i="1"/>
  <c r="AC3116" i="1"/>
  <c r="J3121" i="1" s="1"/>
  <c r="AB3116" i="1"/>
  <c r="E3116" i="1"/>
  <c r="D3116" i="1"/>
  <c r="C3116" i="1"/>
  <c r="B3116" i="1"/>
  <c r="A3115" i="1"/>
  <c r="A3112" i="1"/>
  <c r="I3110" i="1"/>
  <c r="AG3109" i="1"/>
  <c r="AF3109" i="1"/>
  <c r="AE3109" i="1"/>
  <c r="AD3109" i="1"/>
  <c r="AC3109" i="1"/>
  <c r="AB3109" i="1"/>
  <c r="J3109" i="1"/>
  <c r="I3109" i="1"/>
  <c r="H3109" i="1"/>
  <c r="F3109" i="1"/>
  <c r="E3109" i="1"/>
  <c r="D3109" i="1"/>
  <c r="C3109" i="1"/>
  <c r="B3109" i="1"/>
  <c r="J3108" i="1"/>
  <c r="I3108" i="1"/>
  <c r="H3108" i="1"/>
  <c r="G3108" i="1"/>
  <c r="F3108" i="1"/>
  <c r="AG3107" i="1"/>
  <c r="AF3107" i="1"/>
  <c r="AE3107" i="1"/>
  <c r="AD3107" i="1"/>
  <c r="AC3107" i="1"/>
  <c r="AB3107" i="1"/>
  <c r="E3107" i="1"/>
  <c r="D3107" i="1"/>
  <c r="C3107" i="1"/>
  <c r="B3107" i="1"/>
  <c r="I3106" i="1"/>
  <c r="AG3105" i="1"/>
  <c r="AF3105" i="1"/>
  <c r="AE3105" i="1"/>
  <c r="AD3105" i="1"/>
  <c r="AC3105" i="1"/>
  <c r="AB3105" i="1"/>
  <c r="J3105" i="1"/>
  <c r="I3105" i="1"/>
  <c r="H3105" i="1"/>
  <c r="F3105" i="1"/>
  <c r="E3105" i="1"/>
  <c r="D3105" i="1"/>
  <c r="C3105" i="1"/>
  <c r="B3105" i="1"/>
  <c r="J3104" i="1"/>
  <c r="I3104" i="1"/>
  <c r="H3104" i="1"/>
  <c r="G3104" i="1"/>
  <c r="F3104" i="1"/>
  <c r="AG3103" i="1"/>
  <c r="AF3103" i="1"/>
  <c r="AE3103" i="1"/>
  <c r="AD3103" i="1"/>
  <c r="AC3103" i="1"/>
  <c r="AB3103" i="1"/>
  <c r="E3103" i="1"/>
  <c r="D3103" i="1"/>
  <c r="C3103" i="1"/>
  <c r="B3103" i="1"/>
  <c r="I3102" i="1"/>
  <c r="AG3101" i="1"/>
  <c r="AF3101" i="1"/>
  <c r="AE3101" i="1"/>
  <c r="AD3101" i="1"/>
  <c r="AC3101" i="1"/>
  <c r="AB3101" i="1"/>
  <c r="J3101" i="1"/>
  <c r="I3101" i="1"/>
  <c r="H3101" i="1"/>
  <c r="F3101" i="1"/>
  <c r="E3101" i="1"/>
  <c r="D3101" i="1"/>
  <c r="C3101" i="1"/>
  <c r="B3101" i="1"/>
  <c r="J3100" i="1"/>
  <c r="I3100" i="1"/>
  <c r="H3100" i="1"/>
  <c r="G3100" i="1"/>
  <c r="F3100" i="1"/>
  <c r="AG3099" i="1"/>
  <c r="AF3099" i="1"/>
  <c r="AE3099" i="1"/>
  <c r="AD3099" i="1"/>
  <c r="AC3099" i="1"/>
  <c r="AB3099" i="1"/>
  <c r="E3099" i="1"/>
  <c r="D3099" i="1"/>
  <c r="C3099" i="1"/>
  <c r="B3099" i="1"/>
  <c r="I3098" i="1"/>
  <c r="AG3097" i="1"/>
  <c r="AF3097" i="1"/>
  <c r="AE3097" i="1"/>
  <c r="AD3097" i="1"/>
  <c r="AC3097" i="1"/>
  <c r="AB3097" i="1"/>
  <c r="J3097" i="1"/>
  <c r="I3097" i="1"/>
  <c r="H3097" i="1"/>
  <c r="F3097" i="1"/>
  <c r="E3097" i="1"/>
  <c r="D3097" i="1"/>
  <c r="C3097" i="1"/>
  <c r="B3097" i="1"/>
  <c r="J3096" i="1"/>
  <c r="I3096" i="1"/>
  <c r="H3096" i="1"/>
  <c r="G3096" i="1"/>
  <c r="F3096" i="1"/>
  <c r="AG3095" i="1"/>
  <c r="AF3095" i="1"/>
  <c r="AE3095" i="1"/>
  <c r="AD3095" i="1"/>
  <c r="AC3095" i="1"/>
  <c r="AB3095" i="1"/>
  <c r="E3095" i="1"/>
  <c r="D3095" i="1"/>
  <c r="C3095" i="1"/>
  <c r="B3095" i="1"/>
  <c r="I3094" i="1"/>
  <c r="AG3093" i="1"/>
  <c r="AF3093" i="1"/>
  <c r="AE3093" i="1"/>
  <c r="AD3093" i="1"/>
  <c r="AC3093" i="1"/>
  <c r="AB3093" i="1"/>
  <c r="J3093" i="1"/>
  <c r="I3093" i="1"/>
  <c r="H3093" i="1"/>
  <c r="F3093" i="1"/>
  <c r="E3093" i="1"/>
  <c r="D3093" i="1"/>
  <c r="C3093" i="1"/>
  <c r="B3093" i="1"/>
  <c r="J3092" i="1"/>
  <c r="I3092" i="1"/>
  <c r="H3092" i="1"/>
  <c r="G3092" i="1"/>
  <c r="F3092" i="1"/>
  <c r="AG3091" i="1"/>
  <c r="AF3091" i="1"/>
  <c r="AE3091" i="1"/>
  <c r="AD3091" i="1"/>
  <c r="AC3091" i="1"/>
  <c r="AB3091" i="1"/>
  <c r="E3091" i="1"/>
  <c r="D3091" i="1"/>
  <c r="C3091" i="1"/>
  <c r="B3091" i="1"/>
  <c r="I3090" i="1"/>
  <c r="AG3089" i="1"/>
  <c r="AF3089" i="1"/>
  <c r="AE3089" i="1"/>
  <c r="AD3089" i="1"/>
  <c r="AC3089" i="1"/>
  <c r="AB3089" i="1"/>
  <c r="J3089" i="1"/>
  <c r="I3089" i="1"/>
  <c r="H3089" i="1"/>
  <c r="F3089" i="1"/>
  <c r="E3089" i="1"/>
  <c r="D3089" i="1"/>
  <c r="C3089" i="1"/>
  <c r="B3089" i="1"/>
  <c r="J3088" i="1"/>
  <c r="I3088" i="1"/>
  <c r="H3088" i="1"/>
  <c r="G3088" i="1"/>
  <c r="F3088" i="1"/>
  <c r="AG3087" i="1"/>
  <c r="AF3087" i="1"/>
  <c r="AE3087" i="1"/>
  <c r="AD3087" i="1"/>
  <c r="AC3087" i="1"/>
  <c r="AB3087" i="1"/>
  <c r="E3087" i="1"/>
  <c r="D3087" i="1"/>
  <c r="C3087" i="1"/>
  <c r="B3087" i="1"/>
  <c r="A3086" i="1"/>
  <c r="A3083" i="1"/>
  <c r="K3080" i="1"/>
  <c r="H3080" i="1"/>
  <c r="G3080" i="1"/>
  <c r="E3080" i="1"/>
  <c r="E3079" i="1"/>
  <c r="E3078" i="1"/>
  <c r="AG3077" i="1"/>
  <c r="AF3077" i="1"/>
  <c r="AE3077" i="1"/>
  <c r="AD3077" i="1"/>
  <c r="AC3077" i="1"/>
  <c r="AB3077" i="1"/>
  <c r="J3077" i="1"/>
  <c r="I3077" i="1"/>
  <c r="H3077" i="1"/>
  <c r="F3077" i="1"/>
  <c r="E3077" i="1"/>
  <c r="D3077" i="1"/>
  <c r="C3077" i="1"/>
  <c r="B3077" i="1"/>
  <c r="J3076" i="1"/>
  <c r="I3076" i="1"/>
  <c r="H3076" i="1"/>
  <c r="G3076" i="1"/>
  <c r="F3076" i="1"/>
  <c r="J3075" i="1"/>
  <c r="I3075" i="1"/>
  <c r="H3075" i="1"/>
  <c r="G3075" i="1"/>
  <c r="F3075" i="1"/>
  <c r="C3074" i="1"/>
  <c r="AG3073" i="1"/>
  <c r="AF3073" i="1"/>
  <c r="AE3073" i="1"/>
  <c r="J3079" i="1" s="1"/>
  <c r="AD3073" i="1"/>
  <c r="AC3073" i="1"/>
  <c r="J3078" i="1" s="1"/>
  <c r="I3081" i="1" s="1"/>
  <c r="AB3073" i="1"/>
  <c r="E3073" i="1"/>
  <c r="D3073" i="1"/>
  <c r="C3073" i="1"/>
  <c r="B3073" i="1"/>
  <c r="K3071" i="1"/>
  <c r="H3071" i="1"/>
  <c r="G3071" i="1"/>
  <c r="E3071" i="1"/>
  <c r="E3070" i="1"/>
  <c r="J3069" i="1"/>
  <c r="E3069" i="1"/>
  <c r="J3068" i="1"/>
  <c r="I3068" i="1"/>
  <c r="H3068" i="1"/>
  <c r="G3068" i="1"/>
  <c r="F3068" i="1"/>
  <c r="J3067" i="1"/>
  <c r="I3067" i="1"/>
  <c r="H3067" i="1"/>
  <c r="G3067" i="1"/>
  <c r="F3067" i="1"/>
  <c r="C3066" i="1"/>
  <c r="AG3065" i="1"/>
  <c r="AF3065" i="1"/>
  <c r="AE3065" i="1"/>
  <c r="J3070" i="1" s="1"/>
  <c r="AD3065" i="1"/>
  <c r="AC3065" i="1"/>
  <c r="AB3065" i="1"/>
  <c r="E3065" i="1"/>
  <c r="D3065" i="1"/>
  <c r="C3065" i="1"/>
  <c r="B3065" i="1"/>
  <c r="A3064" i="1"/>
  <c r="AQ3061" i="1"/>
  <c r="A3061" i="1"/>
  <c r="K3058" i="1"/>
  <c r="H3058" i="1"/>
  <c r="G3058" i="1"/>
  <c r="E3058" i="1"/>
  <c r="J3057" i="1"/>
  <c r="E3057" i="1"/>
  <c r="E3056" i="1"/>
  <c r="AG3055" i="1"/>
  <c r="AF3055" i="1"/>
  <c r="AE3055" i="1"/>
  <c r="AD3055" i="1"/>
  <c r="AC3055" i="1"/>
  <c r="AB3055" i="1"/>
  <c r="J3055" i="1"/>
  <c r="I3055" i="1"/>
  <c r="H3055" i="1"/>
  <c r="F3055" i="1"/>
  <c r="E3055" i="1"/>
  <c r="D3055" i="1"/>
  <c r="C3055" i="1"/>
  <c r="B3055" i="1"/>
  <c r="J3054" i="1"/>
  <c r="I3054" i="1"/>
  <c r="H3054" i="1"/>
  <c r="G3054" i="1"/>
  <c r="F3054" i="1"/>
  <c r="J3053" i="1"/>
  <c r="I3053" i="1"/>
  <c r="H3053" i="1"/>
  <c r="G3053" i="1"/>
  <c r="F3053" i="1"/>
  <c r="C3052" i="1"/>
  <c r="AG3051" i="1"/>
  <c r="AF3051" i="1"/>
  <c r="AE3051" i="1"/>
  <c r="AD3051" i="1"/>
  <c r="AC3051" i="1"/>
  <c r="AB3051" i="1"/>
  <c r="E3051" i="1"/>
  <c r="D3051" i="1"/>
  <c r="C3051" i="1"/>
  <c r="B3051" i="1"/>
  <c r="K3049" i="1"/>
  <c r="H3049" i="1"/>
  <c r="G3049" i="1"/>
  <c r="E3049" i="1"/>
  <c r="E3048" i="1"/>
  <c r="J3047" i="1"/>
  <c r="E3047" i="1"/>
  <c r="AG3046" i="1"/>
  <c r="AF3046" i="1"/>
  <c r="AE3046" i="1"/>
  <c r="AD3046" i="1"/>
  <c r="AC3046" i="1"/>
  <c r="AB3046" i="1"/>
  <c r="J3046" i="1"/>
  <c r="I3046" i="1"/>
  <c r="H3046" i="1"/>
  <c r="F3046" i="1"/>
  <c r="E3046" i="1"/>
  <c r="D3046" i="1"/>
  <c r="C3046" i="1"/>
  <c r="B3046" i="1"/>
  <c r="J3045" i="1"/>
  <c r="I3045" i="1"/>
  <c r="H3045" i="1"/>
  <c r="G3045" i="1"/>
  <c r="F3045" i="1"/>
  <c r="J3044" i="1"/>
  <c r="I3044" i="1"/>
  <c r="H3044" i="1"/>
  <c r="G3044" i="1"/>
  <c r="F3044" i="1"/>
  <c r="C3043" i="1"/>
  <c r="AG3042" i="1"/>
  <c r="AF3042" i="1"/>
  <c r="AE3042" i="1"/>
  <c r="J3048" i="1" s="1"/>
  <c r="AD3042" i="1"/>
  <c r="AC3042" i="1"/>
  <c r="AB3042" i="1"/>
  <c r="E3042" i="1"/>
  <c r="D3042" i="1"/>
  <c r="C3042" i="1"/>
  <c r="B3042" i="1"/>
  <c r="AP3041" i="1"/>
  <c r="A3041" i="1"/>
  <c r="AQ3038" i="1"/>
  <c r="A3038" i="1"/>
  <c r="K3035" i="1"/>
  <c r="H3035" i="1"/>
  <c r="G3035" i="1"/>
  <c r="E3035" i="1"/>
  <c r="E3034" i="1"/>
  <c r="J3033" i="1"/>
  <c r="E3033" i="1"/>
  <c r="AG3032" i="1"/>
  <c r="AF3032" i="1"/>
  <c r="AE3032" i="1"/>
  <c r="J3034" i="1" s="1"/>
  <c r="AD3032" i="1"/>
  <c r="AC3032" i="1"/>
  <c r="AB3032" i="1"/>
  <c r="J3032" i="1"/>
  <c r="I3032" i="1"/>
  <c r="H3032" i="1"/>
  <c r="F3032" i="1"/>
  <c r="E3032" i="1"/>
  <c r="D3032" i="1"/>
  <c r="C3032" i="1"/>
  <c r="B3032" i="1"/>
  <c r="J3031" i="1"/>
  <c r="I3031" i="1"/>
  <c r="H3031" i="1"/>
  <c r="G3031" i="1"/>
  <c r="F3031" i="1"/>
  <c r="J3030" i="1"/>
  <c r="I3030" i="1"/>
  <c r="H3030" i="1"/>
  <c r="G3030" i="1"/>
  <c r="F3030" i="1"/>
  <c r="C3029" i="1"/>
  <c r="AG3028" i="1"/>
  <c r="AF3028" i="1"/>
  <c r="AE3028" i="1"/>
  <c r="AD3028" i="1"/>
  <c r="AC3028" i="1"/>
  <c r="AB3028" i="1"/>
  <c r="E3028" i="1"/>
  <c r="D3028" i="1"/>
  <c r="C3028" i="1"/>
  <c r="B3028" i="1"/>
  <c r="K3026" i="1"/>
  <c r="H3026" i="1"/>
  <c r="G3026" i="1"/>
  <c r="E3026" i="1"/>
  <c r="E3025" i="1"/>
  <c r="E3024" i="1"/>
  <c r="J3023" i="1"/>
  <c r="I3023" i="1"/>
  <c r="H3023" i="1"/>
  <c r="G3023" i="1"/>
  <c r="F3023" i="1"/>
  <c r="C3022" i="1"/>
  <c r="AG3021" i="1"/>
  <c r="AF3021" i="1"/>
  <c r="AE3021" i="1"/>
  <c r="J3025" i="1" s="1"/>
  <c r="AD3021" i="1"/>
  <c r="AC3021" i="1"/>
  <c r="J3024" i="1" s="1"/>
  <c r="AB3021" i="1"/>
  <c r="E3021" i="1"/>
  <c r="D3021" i="1"/>
  <c r="C3021" i="1"/>
  <c r="B3021" i="1"/>
  <c r="AP3020" i="1"/>
  <c r="A3020" i="1"/>
  <c r="AQ3017" i="1"/>
  <c r="A3017" i="1"/>
  <c r="K3014" i="1"/>
  <c r="H3014" i="1"/>
  <c r="G3014" i="1"/>
  <c r="E3014" i="1"/>
  <c r="E3013" i="1"/>
  <c r="E3012" i="1"/>
  <c r="AG3011" i="1"/>
  <c r="AF3011" i="1"/>
  <c r="AE3011" i="1"/>
  <c r="AD3011" i="1"/>
  <c r="AC3011" i="1"/>
  <c r="AB3011" i="1"/>
  <c r="J3011" i="1"/>
  <c r="I3011" i="1"/>
  <c r="H3011" i="1"/>
  <c r="F3011" i="1"/>
  <c r="E3011" i="1"/>
  <c r="D3011" i="1"/>
  <c r="C3011" i="1"/>
  <c r="B3011" i="1"/>
  <c r="J3010" i="1"/>
  <c r="I3010" i="1"/>
  <c r="H3010" i="1"/>
  <c r="G3010" i="1"/>
  <c r="F3010" i="1"/>
  <c r="J3009" i="1"/>
  <c r="I3015" i="1" s="1"/>
  <c r="I3009" i="1"/>
  <c r="H3009" i="1"/>
  <c r="G3009" i="1"/>
  <c r="F3009" i="1"/>
  <c r="C3008" i="1"/>
  <c r="AG3007" i="1"/>
  <c r="AF3007" i="1"/>
  <c r="AE3007" i="1"/>
  <c r="J3013" i="1" s="1"/>
  <c r="AD3007" i="1"/>
  <c r="AC3007" i="1"/>
  <c r="J3012" i="1" s="1"/>
  <c r="AB3007" i="1"/>
  <c r="E3007" i="1"/>
  <c r="D3007" i="1"/>
  <c r="C3007" i="1"/>
  <c r="B3007" i="1"/>
  <c r="AA3006" i="1"/>
  <c r="K3005" i="1"/>
  <c r="H3005" i="1"/>
  <c r="G3005" i="1"/>
  <c r="E3005" i="1"/>
  <c r="E3004" i="1"/>
  <c r="E3003" i="1"/>
  <c r="J3002" i="1"/>
  <c r="I3002" i="1"/>
  <c r="H3002" i="1"/>
  <c r="G3002" i="1"/>
  <c r="F3002" i="1"/>
  <c r="C3001" i="1"/>
  <c r="AG3000" i="1"/>
  <c r="AF3000" i="1"/>
  <c r="AE3000" i="1"/>
  <c r="J3004" i="1" s="1"/>
  <c r="AD3000" i="1"/>
  <c r="AC3000" i="1"/>
  <c r="J3003" i="1" s="1"/>
  <c r="I3006" i="1" s="1"/>
  <c r="K3006" i="1" s="1"/>
  <c r="AB3000" i="1"/>
  <c r="E3000" i="1"/>
  <c r="D3000" i="1"/>
  <c r="C3000" i="1"/>
  <c r="B3000" i="1"/>
  <c r="A2999" i="1"/>
  <c r="AQ2996" i="1"/>
  <c r="A2996" i="1"/>
  <c r="K2993" i="1"/>
  <c r="H2993" i="1"/>
  <c r="G2993" i="1"/>
  <c r="E2993" i="1"/>
  <c r="E2992" i="1"/>
  <c r="E2991" i="1"/>
  <c r="J2990" i="1"/>
  <c r="I2990" i="1"/>
  <c r="H2990" i="1"/>
  <c r="G2990" i="1"/>
  <c r="F2990" i="1"/>
  <c r="J2989" i="1"/>
  <c r="I2989" i="1"/>
  <c r="H2989" i="1"/>
  <c r="G2989" i="1"/>
  <c r="F2989" i="1"/>
  <c r="C2988" i="1"/>
  <c r="AG2987" i="1"/>
  <c r="AF2987" i="1"/>
  <c r="AE2987" i="1"/>
  <c r="J2992" i="1" s="1"/>
  <c r="AD2987" i="1"/>
  <c r="AC2987" i="1"/>
  <c r="J2991" i="1" s="1"/>
  <c r="AB2987" i="1"/>
  <c r="E2987" i="1"/>
  <c r="D2987" i="1"/>
  <c r="C2987" i="1"/>
  <c r="B2987" i="1"/>
  <c r="K2985" i="1"/>
  <c r="H2985" i="1"/>
  <c r="G2985" i="1"/>
  <c r="E2985" i="1"/>
  <c r="E2984" i="1"/>
  <c r="E2983" i="1"/>
  <c r="E2982" i="1"/>
  <c r="J2981" i="1"/>
  <c r="I2981" i="1"/>
  <c r="H2981" i="1"/>
  <c r="G2981" i="1"/>
  <c r="F2981" i="1"/>
  <c r="J2980" i="1"/>
  <c r="I2980" i="1"/>
  <c r="H2980" i="1"/>
  <c r="G2980" i="1"/>
  <c r="F2980" i="1"/>
  <c r="J2979" i="1"/>
  <c r="I2979" i="1"/>
  <c r="H2979" i="1"/>
  <c r="G2979" i="1"/>
  <c r="F2979" i="1"/>
  <c r="J2978" i="1"/>
  <c r="I2978" i="1"/>
  <c r="H2978" i="1"/>
  <c r="G2978" i="1"/>
  <c r="F2978" i="1"/>
  <c r="C2977" i="1"/>
  <c r="AG2976" i="1"/>
  <c r="J2984" i="1" s="1"/>
  <c r="AF2976" i="1"/>
  <c r="AE2976" i="1"/>
  <c r="J2983" i="1" s="1"/>
  <c r="AD2976" i="1"/>
  <c r="AC2976" i="1"/>
  <c r="J2982" i="1" s="1"/>
  <c r="AB2976" i="1"/>
  <c r="E2976" i="1"/>
  <c r="D2976" i="1"/>
  <c r="C2976" i="1"/>
  <c r="B2976" i="1"/>
  <c r="K2974" i="1"/>
  <c r="H2974" i="1"/>
  <c r="G2974" i="1"/>
  <c r="E2974" i="1"/>
  <c r="E2973" i="1"/>
  <c r="E2972" i="1"/>
  <c r="AG2971" i="1"/>
  <c r="AF2971" i="1"/>
  <c r="AE2971" i="1"/>
  <c r="AD2971" i="1"/>
  <c r="AC2971" i="1"/>
  <c r="AB2971" i="1"/>
  <c r="J2971" i="1"/>
  <c r="I2971" i="1"/>
  <c r="H2971" i="1"/>
  <c r="F2971" i="1"/>
  <c r="E2971" i="1"/>
  <c r="D2971" i="1"/>
  <c r="C2971" i="1"/>
  <c r="B2971" i="1"/>
  <c r="J2970" i="1"/>
  <c r="I2970" i="1"/>
  <c r="H2970" i="1"/>
  <c r="G2970" i="1"/>
  <c r="F2970" i="1"/>
  <c r="J2969" i="1"/>
  <c r="I2969" i="1"/>
  <c r="H2969" i="1"/>
  <c r="G2969" i="1"/>
  <c r="F2969" i="1"/>
  <c r="C2968" i="1"/>
  <c r="AG2967" i="1"/>
  <c r="AF2967" i="1"/>
  <c r="AE2967" i="1"/>
  <c r="J2973" i="1" s="1"/>
  <c r="AD2967" i="1"/>
  <c r="AC2967" i="1"/>
  <c r="J2972" i="1" s="1"/>
  <c r="AB2967" i="1"/>
  <c r="E2967" i="1"/>
  <c r="D2967" i="1"/>
  <c r="C2967" i="1"/>
  <c r="B2967" i="1"/>
  <c r="K2965" i="1"/>
  <c r="H2965" i="1"/>
  <c r="G2965" i="1"/>
  <c r="E2965" i="1"/>
  <c r="E2964" i="1"/>
  <c r="E2963" i="1"/>
  <c r="AG2962" i="1"/>
  <c r="AF2962" i="1"/>
  <c r="AE2962" i="1"/>
  <c r="AD2962" i="1"/>
  <c r="AC2962" i="1"/>
  <c r="AB2962" i="1"/>
  <c r="J2962" i="1"/>
  <c r="I2962" i="1"/>
  <c r="H2962" i="1"/>
  <c r="F2962" i="1"/>
  <c r="E2962" i="1"/>
  <c r="D2962" i="1"/>
  <c r="C2962" i="1"/>
  <c r="B2962" i="1"/>
  <c r="J2961" i="1"/>
  <c r="I2961" i="1"/>
  <c r="H2961" i="1"/>
  <c r="G2961" i="1"/>
  <c r="F2961" i="1"/>
  <c r="J2960" i="1"/>
  <c r="I2960" i="1"/>
  <c r="H2960" i="1"/>
  <c r="G2960" i="1"/>
  <c r="F2960" i="1"/>
  <c r="C2959" i="1"/>
  <c r="AG2958" i="1"/>
  <c r="AF2958" i="1"/>
  <c r="AE2958" i="1"/>
  <c r="J2964" i="1" s="1"/>
  <c r="AD2958" i="1"/>
  <c r="AC2958" i="1"/>
  <c r="J2963" i="1" s="1"/>
  <c r="I2966" i="1" s="1"/>
  <c r="AB2958" i="1"/>
  <c r="E2958" i="1"/>
  <c r="D2958" i="1"/>
  <c r="C2958" i="1"/>
  <c r="B2958" i="1"/>
  <c r="AP2957" i="1"/>
  <c r="A2957" i="1"/>
  <c r="A2954" i="1"/>
  <c r="K2951" i="1"/>
  <c r="H2951" i="1"/>
  <c r="G2951" i="1"/>
  <c r="E2951" i="1"/>
  <c r="J2950" i="1"/>
  <c r="E2950" i="1"/>
  <c r="E2949" i="1"/>
  <c r="AG2948" i="1"/>
  <c r="AF2948" i="1"/>
  <c r="AE2948" i="1"/>
  <c r="AD2948" i="1"/>
  <c r="AC2948" i="1"/>
  <c r="J2949" i="1" s="1"/>
  <c r="AB2948" i="1"/>
  <c r="J2948" i="1"/>
  <c r="I2948" i="1"/>
  <c r="H2948" i="1"/>
  <c r="F2948" i="1"/>
  <c r="E2948" i="1"/>
  <c r="D2948" i="1"/>
  <c r="C2948" i="1"/>
  <c r="B2948" i="1"/>
  <c r="J2947" i="1"/>
  <c r="I2947" i="1"/>
  <c r="H2947" i="1"/>
  <c r="G2947" i="1"/>
  <c r="F2947" i="1"/>
  <c r="J2946" i="1"/>
  <c r="I2952" i="1" s="1"/>
  <c r="I2946" i="1"/>
  <c r="H2946" i="1"/>
  <c r="G2946" i="1"/>
  <c r="F2946" i="1"/>
  <c r="C2945" i="1"/>
  <c r="AG2944" i="1"/>
  <c r="AF2944" i="1"/>
  <c r="AE2944" i="1"/>
  <c r="AD2944" i="1"/>
  <c r="AC2944" i="1"/>
  <c r="AB2944" i="1"/>
  <c r="E2944" i="1"/>
  <c r="D2944" i="1"/>
  <c r="C2944" i="1"/>
  <c r="B2944" i="1"/>
  <c r="K2942" i="1"/>
  <c r="H2942" i="1"/>
  <c r="G2942" i="1"/>
  <c r="E2942" i="1"/>
  <c r="E2941" i="1"/>
  <c r="E2940" i="1"/>
  <c r="J2939" i="1"/>
  <c r="I2939" i="1"/>
  <c r="H2939" i="1"/>
  <c r="G2939" i="1"/>
  <c r="F2939" i="1"/>
  <c r="C2938" i="1"/>
  <c r="AG2937" i="1"/>
  <c r="AF2937" i="1"/>
  <c r="AE2937" i="1"/>
  <c r="J2941" i="1" s="1"/>
  <c r="AD2937" i="1"/>
  <c r="AC2937" i="1"/>
  <c r="J2940" i="1" s="1"/>
  <c r="AB2937" i="1"/>
  <c r="E2937" i="1"/>
  <c r="D2937" i="1"/>
  <c r="C2937" i="1"/>
  <c r="B2937" i="1"/>
  <c r="A2936" i="1"/>
  <c r="AQ2933" i="1"/>
  <c r="A2933" i="1"/>
  <c r="A2930" i="1"/>
  <c r="K2927" i="1"/>
  <c r="H2927" i="1"/>
  <c r="G2927" i="1"/>
  <c r="E2927" i="1"/>
  <c r="E2926" i="1"/>
  <c r="E2925" i="1"/>
  <c r="AG2924" i="1"/>
  <c r="AF2924" i="1"/>
  <c r="AE2924" i="1"/>
  <c r="AD2924" i="1"/>
  <c r="AC2924" i="1"/>
  <c r="AB2924" i="1"/>
  <c r="J2924" i="1"/>
  <c r="I2924" i="1"/>
  <c r="H2924" i="1"/>
  <c r="F2924" i="1"/>
  <c r="E2924" i="1"/>
  <c r="D2924" i="1"/>
  <c r="C2924" i="1"/>
  <c r="B2924" i="1"/>
  <c r="J2923" i="1"/>
  <c r="I2923" i="1"/>
  <c r="H2923" i="1"/>
  <c r="G2923" i="1"/>
  <c r="F2923" i="1"/>
  <c r="J2922" i="1"/>
  <c r="I2922" i="1"/>
  <c r="H2922" i="1"/>
  <c r="G2922" i="1"/>
  <c r="F2922" i="1"/>
  <c r="C2921" i="1"/>
  <c r="AG2920" i="1"/>
  <c r="AF2920" i="1"/>
  <c r="AE2920" i="1"/>
  <c r="J2926" i="1" s="1"/>
  <c r="AD2920" i="1"/>
  <c r="AC2920" i="1"/>
  <c r="J2925" i="1" s="1"/>
  <c r="I2928" i="1" s="1"/>
  <c r="AB2920" i="1"/>
  <c r="E2920" i="1"/>
  <c r="D2920" i="1"/>
  <c r="C2920" i="1"/>
  <c r="B2920" i="1"/>
  <c r="K2918" i="1"/>
  <c r="H2918" i="1"/>
  <c r="G2918" i="1"/>
  <c r="E2918" i="1"/>
  <c r="E2917" i="1"/>
  <c r="E2916" i="1"/>
  <c r="E2915" i="1"/>
  <c r="AG2914" i="1"/>
  <c r="AF2914" i="1"/>
  <c r="AE2914" i="1"/>
  <c r="AD2914" i="1"/>
  <c r="AC2914" i="1"/>
  <c r="AB2914" i="1"/>
  <c r="J2914" i="1"/>
  <c r="I2914" i="1"/>
  <c r="H2914" i="1"/>
  <c r="F2914" i="1"/>
  <c r="E2914" i="1"/>
  <c r="D2914" i="1"/>
  <c r="C2914" i="1"/>
  <c r="B2914" i="1"/>
  <c r="J2913" i="1"/>
  <c r="I2913" i="1"/>
  <c r="H2913" i="1"/>
  <c r="G2913" i="1"/>
  <c r="F2913" i="1"/>
  <c r="J2912" i="1"/>
  <c r="I2912" i="1"/>
  <c r="H2912" i="1"/>
  <c r="G2912" i="1"/>
  <c r="F2912" i="1"/>
  <c r="J2911" i="1"/>
  <c r="I2911" i="1"/>
  <c r="H2911" i="1"/>
  <c r="G2911" i="1"/>
  <c r="F2911" i="1"/>
  <c r="J2910" i="1"/>
  <c r="I2910" i="1"/>
  <c r="H2910" i="1"/>
  <c r="G2910" i="1"/>
  <c r="F2910" i="1"/>
  <c r="C2909" i="1"/>
  <c r="AG2908" i="1"/>
  <c r="J2917" i="1" s="1"/>
  <c r="AF2908" i="1"/>
  <c r="AE2908" i="1"/>
  <c r="J2916" i="1" s="1"/>
  <c r="AD2908" i="1"/>
  <c r="AC2908" i="1"/>
  <c r="J2915" i="1" s="1"/>
  <c r="AB2908" i="1"/>
  <c r="E2908" i="1"/>
  <c r="D2908" i="1"/>
  <c r="C2908" i="1"/>
  <c r="B2908" i="1"/>
  <c r="A2907" i="1"/>
  <c r="A2904" i="1"/>
  <c r="K2901" i="1"/>
  <c r="H2901" i="1"/>
  <c r="G2901" i="1"/>
  <c r="E2901" i="1"/>
  <c r="E2900" i="1"/>
  <c r="E2899" i="1"/>
  <c r="AG2898" i="1"/>
  <c r="AF2898" i="1"/>
  <c r="AE2898" i="1"/>
  <c r="AD2898" i="1"/>
  <c r="AC2898" i="1"/>
  <c r="AB2898" i="1"/>
  <c r="J2898" i="1"/>
  <c r="I2898" i="1"/>
  <c r="H2898" i="1"/>
  <c r="F2898" i="1"/>
  <c r="E2898" i="1"/>
  <c r="D2898" i="1"/>
  <c r="C2898" i="1"/>
  <c r="B2898" i="1"/>
  <c r="J2897" i="1"/>
  <c r="I2897" i="1"/>
  <c r="H2897" i="1"/>
  <c r="G2897" i="1"/>
  <c r="F2897" i="1"/>
  <c r="J2896" i="1"/>
  <c r="I2902" i="1" s="1"/>
  <c r="I2896" i="1"/>
  <c r="H2896" i="1"/>
  <c r="G2896" i="1"/>
  <c r="F2896" i="1"/>
  <c r="C2895" i="1"/>
  <c r="AG2894" i="1"/>
  <c r="AF2894" i="1"/>
  <c r="AE2894" i="1"/>
  <c r="J2900" i="1" s="1"/>
  <c r="AD2894" i="1"/>
  <c r="AC2894" i="1"/>
  <c r="J2899" i="1" s="1"/>
  <c r="AB2894" i="1"/>
  <c r="E2894" i="1"/>
  <c r="D2894" i="1"/>
  <c r="C2894" i="1"/>
  <c r="B2894" i="1"/>
  <c r="K2892" i="1"/>
  <c r="H2892" i="1"/>
  <c r="G2892" i="1"/>
  <c r="E2892" i="1"/>
  <c r="E2891" i="1"/>
  <c r="E2890" i="1"/>
  <c r="J2889" i="1"/>
  <c r="I2889" i="1"/>
  <c r="H2889" i="1"/>
  <c r="G2889" i="1"/>
  <c r="F2889" i="1"/>
  <c r="C2888" i="1"/>
  <c r="AG2887" i="1"/>
  <c r="AF2887" i="1"/>
  <c r="AE2887" i="1"/>
  <c r="J2891" i="1" s="1"/>
  <c r="AD2887" i="1"/>
  <c r="AC2887" i="1"/>
  <c r="J2890" i="1" s="1"/>
  <c r="AB2887" i="1"/>
  <c r="E2887" i="1"/>
  <c r="D2887" i="1"/>
  <c r="C2887" i="1"/>
  <c r="B2887" i="1"/>
  <c r="A2886" i="1"/>
  <c r="A2883" i="1"/>
  <c r="E2880" i="1"/>
  <c r="AG2879" i="1"/>
  <c r="AF2879" i="1"/>
  <c r="AE2879" i="1"/>
  <c r="AD2879" i="1"/>
  <c r="AC2879" i="1"/>
  <c r="AB2879" i="1"/>
  <c r="J2879" i="1"/>
  <c r="I2879" i="1"/>
  <c r="H2879" i="1"/>
  <c r="F2879" i="1"/>
  <c r="E2879" i="1"/>
  <c r="D2879" i="1"/>
  <c r="C2879" i="1"/>
  <c r="B2879" i="1"/>
  <c r="J2878" i="1"/>
  <c r="I2878" i="1"/>
  <c r="H2878" i="1"/>
  <c r="G2878" i="1"/>
  <c r="F2878" i="1"/>
  <c r="J2877" i="1"/>
  <c r="I2877" i="1"/>
  <c r="H2877" i="1"/>
  <c r="G2877" i="1"/>
  <c r="F2877" i="1"/>
  <c r="J2876" i="1"/>
  <c r="I2876" i="1"/>
  <c r="H2876" i="1"/>
  <c r="G2876" i="1"/>
  <c r="F2876" i="1"/>
  <c r="C2875" i="1"/>
  <c r="AG2874" i="1"/>
  <c r="J2880" i="1" s="1"/>
  <c r="AF2874" i="1"/>
  <c r="AE2874" i="1"/>
  <c r="AD2874" i="1"/>
  <c r="AC2874" i="1"/>
  <c r="AB2874" i="1"/>
  <c r="E2874" i="1"/>
  <c r="D2874" i="1"/>
  <c r="C2874" i="1"/>
  <c r="B2874" i="1"/>
  <c r="E2872" i="1"/>
  <c r="AG2871" i="1"/>
  <c r="AF2871" i="1"/>
  <c r="AE2871" i="1"/>
  <c r="AD2871" i="1"/>
  <c r="AC2871" i="1"/>
  <c r="AB2871" i="1"/>
  <c r="J2871" i="1"/>
  <c r="I2871" i="1"/>
  <c r="H2871" i="1"/>
  <c r="F2871" i="1"/>
  <c r="E2871" i="1"/>
  <c r="D2871" i="1"/>
  <c r="C2871" i="1"/>
  <c r="B2871" i="1"/>
  <c r="J2870" i="1"/>
  <c r="I2870" i="1"/>
  <c r="H2870" i="1"/>
  <c r="G2870" i="1"/>
  <c r="F2870" i="1"/>
  <c r="J2869" i="1"/>
  <c r="I2869" i="1"/>
  <c r="H2869" i="1"/>
  <c r="G2869" i="1"/>
  <c r="F2869" i="1"/>
  <c r="J2868" i="1"/>
  <c r="I2873" i="1" s="1"/>
  <c r="K2873" i="1" s="1"/>
  <c r="I2868" i="1"/>
  <c r="H2868" i="1"/>
  <c r="G2868" i="1"/>
  <c r="F2868" i="1"/>
  <c r="C2867" i="1"/>
  <c r="AG2866" i="1"/>
  <c r="J2872" i="1" s="1"/>
  <c r="AF2866" i="1"/>
  <c r="AE2866" i="1"/>
  <c r="AD2866" i="1"/>
  <c r="AC2866" i="1"/>
  <c r="AB2866" i="1"/>
  <c r="E2866" i="1"/>
  <c r="D2866" i="1"/>
  <c r="C2866" i="1"/>
  <c r="B2866" i="1"/>
  <c r="A2865" i="1"/>
  <c r="AP2863" i="1"/>
  <c r="A2863" i="1"/>
  <c r="A2860" i="1"/>
  <c r="K2857" i="1"/>
  <c r="H2857" i="1"/>
  <c r="G2857" i="1"/>
  <c r="E2857" i="1"/>
  <c r="E2856" i="1"/>
  <c r="J2855" i="1"/>
  <c r="E2855" i="1"/>
  <c r="AG2854" i="1"/>
  <c r="AF2854" i="1"/>
  <c r="AE2854" i="1"/>
  <c r="J2856" i="1" s="1"/>
  <c r="AD2854" i="1"/>
  <c r="AC2854" i="1"/>
  <c r="AB2854" i="1"/>
  <c r="J2854" i="1"/>
  <c r="I2854" i="1"/>
  <c r="H2854" i="1"/>
  <c r="F2854" i="1"/>
  <c r="E2854" i="1"/>
  <c r="D2854" i="1"/>
  <c r="C2854" i="1"/>
  <c r="B2854" i="1"/>
  <c r="J2853" i="1"/>
  <c r="I2853" i="1"/>
  <c r="H2853" i="1"/>
  <c r="G2853" i="1"/>
  <c r="F2853" i="1"/>
  <c r="J2852" i="1"/>
  <c r="I2852" i="1"/>
  <c r="H2852" i="1"/>
  <c r="G2852" i="1"/>
  <c r="F2852" i="1"/>
  <c r="C2851" i="1"/>
  <c r="AG2850" i="1"/>
  <c r="AF2850" i="1"/>
  <c r="AE2850" i="1"/>
  <c r="AD2850" i="1"/>
  <c r="AC2850" i="1"/>
  <c r="AB2850" i="1"/>
  <c r="E2850" i="1"/>
  <c r="D2850" i="1"/>
  <c r="C2850" i="1"/>
  <c r="B2850" i="1"/>
  <c r="K2848" i="1"/>
  <c r="H2848" i="1"/>
  <c r="G2848" i="1"/>
  <c r="E2848" i="1"/>
  <c r="E2847" i="1"/>
  <c r="E2846" i="1"/>
  <c r="J2845" i="1"/>
  <c r="I2845" i="1"/>
  <c r="H2845" i="1"/>
  <c r="G2845" i="1"/>
  <c r="F2845" i="1"/>
  <c r="C2844" i="1"/>
  <c r="AG2843" i="1"/>
  <c r="AF2843" i="1"/>
  <c r="AE2843" i="1"/>
  <c r="J2847" i="1" s="1"/>
  <c r="AD2843" i="1"/>
  <c r="AC2843" i="1"/>
  <c r="J2846" i="1" s="1"/>
  <c r="AB2843" i="1"/>
  <c r="E2843" i="1"/>
  <c r="D2843" i="1"/>
  <c r="C2843" i="1"/>
  <c r="B2843" i="1"/>
  <c r="A2842" i="1"/>
  <c r="AQ2839" i="1"/>
  <c r="A2839" i="1"/>
  <c r="J2836" i="1"/>
  <c r="I2837" i="1" s="1"/>
  <c r="I2836" i="1"/>
  <c r="H2836" i="1"/>
  <c r="G2836" i="1"/>
  <c r="F2836" i="1"/>
  <c r="AG2835" i="1"/>
  <c r="AF2835" i="1"/>
  <c r="AE2835" i="1"/>
  <c r="AD2835" i="1"/>
  <c r="AC2835" i="1"/>
  <c r="AB2835" i="1"/>
  <c r="E2835" i="1"/>
  <c r="D2835" i="1"/>
  <c r="C2835" i="1"/>
  <c r="B2835" i="1"/>
  <c r="K2833" i="1"/>
  <c r="H2833" i="1"/>
  <c r="G2833" i="1"/>
  <c r="E2833" i="1"/>
  <c r="E2832" i="1"/>
  <c r="J2831" i="1"/>
  <c r="E2831" i="1"/>
  <c r="AG2830" i="1"/>
  <c r="AF2830" i="1"/>
  <c r="AE2830" i="1"/>
  <c r="J2832" i="1" s="1"/>
  <c r="AD2830" i="1"/>
  <c r="AC2830" i="1"/>
  <c r="AB2830" i="1"/>
  <c r="J2830" i="1"/>
  <c r="I2830" i="1"/>
  <c r="H2830" i="1"/>
  <c r="F2830" i="1"/>
  <c r="E2830" i="1"/>
  <c r="D2830" i="1"/>
  <c r="C2830" i="1"/>
  <c r="B2830" i="1"/>
  <c r="J2829" i="1"/>
  <c r="I2829" i="1"/>
  <c r="H2829" i="1"/>
  <c r="G2829" i="1"/>
  <c r="F2829" i="1"/>
  <c r="J2828" i="1"/>
  <c r="I2834" i="1" s="1"/>
  <c r="AA2834" i="1" s="1"/>
  <c r="I2828" i="1"/>
  <c r="H2828" i="1"/>
  <c r="G2828" i="1"/>
  <c r="F2828" i="1"/>
  <c r="C2827" i="1"/>
  <c r="AG2826" i="1"/>
  <c r="AF2826" i="1"/>
  <c r="AE2826" i="1"/>
  <c r="AD2826" i="1"/>
  <c r="AC2826" i="1"/>
  <c r="AB2826" i="1"/>
  <c r="E2826" i="1"/>
  <c r="D2826" i="1"/>
  <c r="C2826" i="1"/>
  <c r="B2826" i="1"/>
  <c r="K2824" i="1"/>
  <c r="H2824" i="1"/>
  <c r="G2824" i="1"/>
  <c r="E2824" i="1"/>
  <c r="J2823" i="1"/>
  <c r="E2823" i="1"/>
  <c r="E2822" i="1"/>
  <c r="J2821" i="1"/>
  <c r="I2821" i="1"/>
  <c r="H2821" i="1"/>
  <c r="G2821" i="1"/>
  <c r="F2821" i="1"/>
  <c r="C2820" i="1"/>
  <c r="AG2819" i="1"/>
  <c r="AF2819" i="1"/>
  <c r="AE2819" i="1"/>
  <c r="AD2819" i="1"/>
  <c r="AC2819" i="1"/>
  <c r="J2822" i="1" s="1"/>
  <c r="AB2819" i="1"/>
  <c r="E2819" i="1"/>
  <c r="D2819" i="1"/>
  <c r="C2819" i="1"/>
  <c r="B2819" i="1"/>
  <c r="K2817" i="1"/>
  <c r="H2817" i="1"/>
  <c r="G2817" i="1"/>
  <c r="E2817" i="1"/>
  <c r="E2816" i="1"/>
  <c r="E2815" i="1"/>
  <c r="J2814" i="1"/>
  <c r="I2814" i="1"/>
  <c r="H2814" i="1"/>
  <c r="G2814" i="1"/>
  <c r="F2814" i="1"/>
  <c r="C2813" i="1"/>
  <c r="AG2812" i="1"/>
  <c r="AF2812" i="1"/>
  <c r="AE2812" i="1"/>
  <c r="J2816" i="1" s="1"/>
  <c r="AD2812" i="1"/>
  <c r="AC2812" i="1"/>
  <c r="J2815" i="1" s="1"/>
  <c r="AB2812" i="1"/>
  <c r="E2812" i="1"/>
  <c r="D2812" i="1"/>
  <c r="C2812" i="1"/>
  <c r="B2812" i="1"/>
  <c r="AP2811" i="1"/>
  <c r="A2811" i="1"/>
  <c r="AQ2808" i="1"/>
  <c r="A2808" i="1"/>
  <c r="J2805" i="1"/>
  <c r="I2806" i="1" s="1"/>
  <c r="I2805" i="1"/>
  <c r="H2805" i="1"/>
  <c r="G2805" i="1"/>
  <c r="F2805" i="1"/>
  <c r="AG2804" i="1"/>
  <c r="AF2804" i="1"/>
  <c r="AE2804" i="1"/>
  <c r="AD2804" i="1"/>
  <c r="AC2804" i="1"/>
  <c r="AB2804" i="1"/>
  <c r="E2804" i="1"/>
  <c r="D2804" i="1"/>
  <c r="C2804" i="1"/>
  <c r="B2804" i="1"/>
  <c r="K2802" i="1"/>
  <c r="H2802" i="1"/>
  <c r="G2802" i="1"/>
  <c r="E2802" i="1"/>
  <c r="E2801" i="1"/>
  <c r="J2800" i="1"/>
  <c r="E2800" i="1"/>
  <c r="AG2799" i="1"/>
  <c r="AF2799" i="1"/>
  <c r="AE2799" i="1"/>
  <c r="J2801" i="1" s="1"/>
  <c r="AD2799" i="1"/>
  <c r="AC2799" i="1"/>
  <c r="AB2799" i="1"/>
  <c r="J2799" i="1"/>
  <c r="I2799" i="1"/>
  <c r="H2799" i="1"/>
  <c r="F2799" i="1"/>
  <c r="E2799" i="1"/>
  <c r="D2799" i="1"/>
  <c r="C2799" i="1"/>
  <c r="B2799" i="1"/>
  <c r="J2798" i="1"/>
  <c r="I2798" i="1"/>
  <c r="H2798" i="1"/>
  <c r="G2798" i="1"/>
  <c r="F2798" i="1"/>
  <c r="J2797" i="1"/>
  <c r="I2797" i="1"/>
  <c r="H2797" i="1"/>
  <c r="G2797" i="1"/>
  <c r="F2797" i="1"/>
  <c r="C2796" i="1"/>
  <c r="AG2795" i="1"/>
  <c r="AF2795" i="1"/>
  <c r="AE2795" i="1"/>
  <c r="AD2795" i="1"/>
  <c r="AC2795" i="1"/>
  <c r="AB2795" i="1"/>
  <c r="E2795" i="1"/>
  <c r="D2795" i="1"/>
  <c r="C2795" i="1"/>
  <c r="B2795" i="1"/>
  <c r="K2793" i="1"/>
  <c r="H2793" i="1"/>
  <c r="G2793" i="1"/>
  <c r="E2793" i="1"/>
  <c r="E2792" i="1"/>
  <c r="E2791" i="1"/>
  <c r="J2790" i="1"/>
  <c r="I2790" i="1"/>
  <c r="H2790" i="1"/>
  <c r="G2790" i="1"/>
  <c r="F2790" i="1"/>
  <c r="C2789" i="1"/>
  <c r="AG2788" i="1"/>
  <c r="AF2788" i="1"/>
  <c r="AE2788" i="1"/>
  <c r="J2792" i="1" s="1"/>
  <c r="AD2788" i="1"/>
  <c r="AC2788" i="1"/>
  <c r="J2791" i="1" s="1"/>
  <c r="AB2788" i="1"/>
  <c r="E2788" i="1"/>
  <c r="D2788" i="1"/>
  <c r="C2788" i="1"/>
  <c r="B2788" i="1"/>
  <c r="K2786" i="1"/>
  <c r="H2786" i="1"/>
  <c r="G2786" i="1"/>
  <c r="E2786" i="1"/>
  <c r="E2785" i="1"/>
  <c r="E2784" i="1"/>
  <c r="J2783" i="1"/>
  <c r="I2783" i="1"/>
  <c r="H2783" i="1"/>
  <c r="G2783" i="1"/>
  <c r="F2783" i="1"/>
  <c r="C2782" i="1"/>
  <c r="AG2781" i="1"/>
  <c r="AF2781" i="1"/>
  <c r="AE2781" i="1"/>
  <c r="J2785" i="1" s="1"/>
  <c r="AD2781" i="1"/>
  <c r="AC2781" i="1"/>
  <c r="J2784" i="1" s="1"/>
  <c r="AB2781" i="1"/>
  <c r="E2781" i="1"/>
  <c r="D2781" i="1"/>
  <c r="C2781" i="1"/>
  <c r="B2781" i="1"/>
  <c r="AP2780" i="1"/>
  <c r="A2780" i="1"/>
  <c r="AQ2777" i="1"/>
  <c r="A2777" i="1"/>
  <c r="K2774" i="1"/>
  <c r="H2774" i="1"/>
  <c r="G2774" i="1"/>
  <c r="E2774" i="1"/>
  <c r="J2773" i="1"/>
  <c r="E2773" i="1"/>
  <c r="E2772" i="1"/>
  <c r="AG2771" i="1"/>
  <c r="AF2771" i="1"/>
  <c r="AE2771" i="1"/>
  <c r="AD2771" i="1"/>
  <c r="AC2771" i="1"/>
  <c r="J2772" i="1" s="1"/>
  <c r="AB2771" i="1"/>
  <c r="J2771" i="1"/>
  <c r="I2771" i="1"/>
  <c r="H2771" i="1"/>
  <c r="F2771" i="1"/>
  <c r="E2771" i="1"/>
  <c r="D2771" i="1"/>
  <c r="C2771" i="1"/>
  <c r="B2771" i="1"/>
  <c r="J2770" i="1"/>
  <c r="I2770" i="1"/>
  <c r="H2770" i="1"/>
  <c r="G2770" i="1"/>
  <c r="F2770" i="1"/>
  <c r="J2769" i="1"/>
  <c r="I2775" i="1" s="1"/>
  <c r="I2769" i="1"/>
  <c r="H2769" i="1"/>
  <c r="G2769" i="1"/>
  <c r="F2769" i="1"/>
  <c r="C2768" i="1"/>
  <c r="AG2767" i="1"/>
  <c r="AF2767" i="1"/>
  <c r="AE2767" i="1"/>
  <c r="AD2767" i="1"/>
  <c r="AC2767" i="1"/>
  <c r="AB2767" i="1"/>
  <c r="E2767" i="1"/>
  <c r="D2767" i="1"/>
  <c r="C2767" i="1"/>
  <c r="B2767" i="1"/>
  <c r="K2765" i="1"/>
  <c r="H2765" i="1"/>
  <c r="G2765" i="1"/>
  <c r="E2765" i="1"/>
  <c r="E2764" i="1"/>
  <c r="E2763" i="1"/>
  <c r="J2762" i="1"/>
  <c r="I2762" i="1"/>
  <c r="H2762" i="1"/>
  <c r="G2762" i="1"/>
  <c r="F2762" i="1"/>
  <c r="C2761" i="1"/>
  <c r="AG2760" i="1"/>
  <c r="AF2760" i="1"/>
  <c r="AE2760" i="1"/>
  <c r="J2764" i="1" s="1"/>
  <c r="AD2760" i="1"/>
  <c r="AC2760" i="1"/>
  <c r="J2763" i="1" s="1"/>
  <c r="AB2760" i="1"/>
  <c r="E2760" i="1"/>
  <c r="D2760" i="1"/>
  <c r="C2760" i="1"/>
  <c r="B2760" i="1"/>
  <c r="I2759" i="1"/>
  <c r="K2758" i="1"/>
  <c r="H2758" i="1"/>
  <c r="G2758" i="1"/>
  <c r="E2758" i="1"/>
  <c r="E2757" i="1"/>
  <c r="E2756" i="1"/>
  <c r="J2755" i="1"/>
  <c r="I2755" i="1"/>
  <c r="H2755" i="1"/>
  <c r="G2755" i="1"/>
  <c r="F2755" i="1"/>
  <c r="C2754" i="1"/>
  <c r="AG2753" i="1"/>
  <c r="AF2753" i="1"/>
  <c r="AE2753" i="1"/>
  <c r="J2757" i="1" s="1"/>
  <c r="AD2753" i="1"/>
  <c r="AC2753" i="1"/>
  <c r="J2756" i="1" s="1"/>
  <c r="AB2753" i="1"/>
  <c r="E2753" i="1"/>
  <c r="D2753" i="1"/>
  <c r="C2753" i="1"/>
  <c r="B2753" i="1"/>
  <c r="AP2752" i="1"/>
  <c r="A2752" i="1"/>
  <c r="AQ2749" i="1"/>
  <c r="A2749" i="1"/>
  <c r="K2746" i="1"/>
  <c r="H2746" i="1"/>
  <c r="G2746" i="1"/>
  <c r="E2746" i="1"/>
  <c r="E2745" i="1"/>
  <c r="J2744" i="1"/>
  <c r="E2744" i="1"/>
  <c r="AG2743" i="1"/>
  <c r="AF2743" i="1"/>
  <c r="AE2743" i="1"/>
  <c r="J2745" i="1" s="1"/>
  <c r="AD2743" i="1"/>
  <c r="AC2743" i="1"/>
  <c r="AB2743" i="1"/>
  <c r="J2743" i="1"/>
  <c r="I2743" i="1"/>
  <c r="H2743" i="1"/>
  <c r="F2743" i="1"/>
  <c r="E2743" i="1"/>
  <c r="D2743" i="1"/>
  <c r="C2743" i="1"/>
  <c r="B2743" i="1"/>
  <c r="J2742" i="1"/>
  <c r="I2742" i="1"/>
  <c r="H2742" i="1"/>
  <c r="G2742" i="1"/>
  <c r="F2742" i="1"/>
  <c r="J2741" i="1"/>
  <c r="I2747" i="1" s="1"/>
  <c r="AA2747" i="1" s="1"/>
  <c r="I2741" i="1"/>
  <c r="H2741" i="1"/>
  <c r="G2741" i="1"/>
  <c r="F2741" i="1"/>
  <c r="C2740" i="1"/>
  <c r="AG2739" i="1"/>
  <c r="AF2739" i="1"/>
  <c r="AE2739" i="1"/>
  <c r="AD2739" i="1"/>
  <c r="AC2739" i="1"/>
  <c r="AB2739" i="1"/>
  <c r="E2739" i="1"/>
  <c r="D2739" i="1"/>
  <c r="C2739" i="1"/>
  <c r="B2739" i="1"/>
  <c r="K2737" i="1"/>
  <c r="H2737" i="1"/>
  <c r="G2737" i="1"/>
  <c r="E2737" i="1"/>
  <c r="J2736" i="1"/>
  <c r="E2736" i="1"/>
  <c r="E2735" i="1"/>
  <c r="J2734" i="1"/>
  <c r="I2734" i="1"/>
  <c r="H2734" i="1"/>
  <c r="G2734" i="1"/>
  <c r="F2734" i="1"/>
  <c r="C2733" i="1"/>
  <c r="AG2732" i="1"/>
  <c r="AF2732" i="1"/>
  <c r="AE2732" i="1"/>
  <c r="AD2732" i="1"/>
  <c r="AC2732" i="1"/>
  <c r="J2735" i="1" s="1"/>
  <c r="AB2732" i="1"/>
  <c r="E2732" i="1"/>
  <c r="D2732" i="1"/>
  <c r="C2732" i="1"/>
  <c r="B2732" i="1"/>
  <c r="K2730" i="1"/>
  <c r="H2730" i="1"/>
  <c r="G2730" i="1"/>
  <c r="E2730" i="1"/>
  <c r="E2729" i="1"/>
  <c r="E2728" i="1"/>
  <c r="J2727" i="1"/>
  <c r="I2727" i="1"/>
  <c r="H2727" i="1"/>
  <c r="G2727" i="1"/>
  <c r="F2727" i="1"/>
  <c r="C2726" i="1"/>
  <c r="AG2725" i="1"/>
  <c r="AF2725" i="1"/>
  <c r="AE2725" i="1"/>
  <c r="J2729" i="1" s="1"/>
  <c r="AD2725" i="1"/>
  <c r="AC2725" i="1"/>
  <c r="J2728" i="1" s="1"/>
  <c r="I2731" i="1" s="1"/>
  <c r="K2731" i="1" s="1"/>
  <c r="AB2725" i="1"/>
  <c r="E2725" i="1"/>
  <c r="D2725" i="1"/>
  <c r="C2725" i="1"/>
  <c r="B2725" i="1"/>
  <c r="A2724" i="1"/>
  <c r="AQ2721" i="1"/>
  <c r="A2721" i="1"/>
  <c r="K2718" i="1"/>
  <c r="H2718" i="1"/>
  <c r="G2718" i="1"/>
  <c r="E2718" i="1"/>
  <c r="E2717" i="1"/>
  <c r="E2716" i="1"/>
  <c r="AG2715" i="1"/>
  <c r="AF2715" i="1"/>
  <c r="AE2715" i="1"/>
  <c r="AD2715" i="1"/>
  <c r="AC2715" i="1"/>
  <c r="AB2715" i="1"/>
  <c r="J2715" i="1"/>
  <c r="I2715" i="1"/>
  <c r="H2715" i="1"/>
  <c r="F2715" i="1"/>
  <c r="E2715" i="1"/>
  <c r="D2715" i="1"/>
  <c r="C2715" i="1"/>
  <c r="B2715" i="1"/>
  <c r="J2714" i="1"/>
  <c r="I2714" i="1"/>
  <c r="H2714" i="1"/>
  <c r="G2714" i="1"/>
  <c r="F2714" i="1"/>
  <c r="J2713" i="1"/>
  <c r="I2713" i="1"/>
  <c r="H2713" i="1"/>
  <c r="G2713" i="1"/>
  <c r="F2713" i="1"/>
  <c r="C2712" i="1"/>
  <c r="AG2711" i="1"/>
  <c r="AF2711" i="1"/>
  <c r="AE2711" i="1"/>
  <c r="J2717" i="1" s="1"/>
  <c r="AD2711" i="1"/>
  <c r="AC2711" i="1"/>
  <c r="J2716" i="1" s="1"/>
  <c r="AB2711" i="1"/>
  <c r="E2711" i="1"/>
  <c r="D2711" i="1"/>
  <c r="C2711" i="1"/>
  <c r="B2711" i="1"/>
  <c r="I2710" i="1"/>
  <c r="K2709" i="1"/>
  <c r="H2709" i="1"/>
  <c r="G2709" i="1"/>
  <c r="E2709" i="1"/>
  <c r="E2708" i="1"/>
  <c r="E2707" i="1"/>
  <c r="J2706" i="1"/>
  <c r="I2706" i="1"/>
  <c r="H2706" i="1"/>
  <c r="G2706" i="1"/>
  <c r="F2706" i="1"/>
  <c r="C2705" i="1"/>
  <c r="AG2704" i="1"/>
  <c r="AF2704" i="1"/>
  <c r="AE2704" i="1"/>
  <c r="J2708" i="1" s="1"/>
  <c r="AD2704" i="1"/>
  <c r="AC2704" i="1"/>
  <c r="J2707" i="1" s="1"/>
  <c r="AB2704" i="1"/>
  <c r="E2704" i="1"/>
  <c r="D2704" i="1"/>
  <c r="C2704" i="1"/>
  <c r="B2704" i="1"/>
  <c r="K2702" i="1"/>
  <c r="H2702" i="1"/>
  <c r="G2702" i="1"/>
  <c r="E2702" i="1"/>
  <c r="E2701" i="1"/>
  <c r="E2700" i="1"/>
  <c r="J2699" i="1"/>
  <c r="I2699" i="1"/>
  <c r="H2699" i="1"/>
  <c r="G2699" i="1"/>
  <c r="F2699" i="1"/>
  <c r="C2698" i="1"/>
  <c r="AG2697" i="1"/>
  <c r="AF2697" i="1"/>
  <c r="AE2697" i="1"/>
  <c r="J2701" i="1" s="1"/>
  <c r="AD2697" i="1"/>
  <c r="AC2697" i="1"/>
  <c r="J2700" i="1" s="1"/>
  <c r="AB2697" i="1"/>
  <c r="E2697" i="1"/>
  <c r="D2697" i="1"/>
  <c r="C2697" i="1"/>
  <c r="B2697" i="1"/>
  <c r="A2696" i="1"/>
  <c r="AQ2693" i="1"/>
  <c r="A2693" i="1"/>
  <c r="E2690" i="1"/>
  <c r="AG2689" i="1"/>
  <c r="AF2689" i="1"/>
  <c r="AE2689" i="1"/>
  <c r="AD2689" i="1"/>
  <c r="AC2689" i="1"/>
  <c r="AB2689" i="1"/>
  <c r="J2689" i="1"/>
  <c r="I2689" i="1"/>
  <c r="H2689" i="1"/>
  <c r="F2689" i="1"/>
  <c r="E2689" i="1"/>
  <c r="D2689" i="1"/>
  <c r="C2689" i="1"/>
  <c r="B2689" i="1"/>
  <c r="J2688" i="1"/>
  <c r="I2688" i="1"/>
  <c r="H2688" i="1"/>
  <c r="G2688" i="1"/>
  <c r="F2688" i="1"/>
  <c r="J2687" i="1"/>
  <c r="I2687" i="1"/>
  <c r="H2687" i="1"/>
  <c r="G2687" i="1"/>
  <c r="F2687" i="1"/>
  <c r="J2686" i="1"/>
  <c r="I2686" i="1"/>
  <c r="H2686" i="1"/>
  <c r="G2686" i="1"/>
  <c r="F2686" i="1"/>
  <c r="C2685" i="1"/>
  <c r="AG2684" i="1"/>
  <c r="J2690" i="1" s="1"/>
  <c r="AF2684" i="1"/>
  <c r="AE2684" i="1"/>
  <c r="AD2684" i="1"/>
  <c r="AC2684" i="1"/>
  <c r="AB2684" i="1"/>
  <c r="E2684" i="1"/>
  <c r="D2684" i="1"/>
  <c r="C2684" i="1"/>
  <c r="B2684" i="1"/>
  <c r="E2682" i="1"/>
  <c r="AG2681" i="1"/>
  <c r="AF2681" i="1"/>
  <c r="AE2681" i="1"/>
  <c r="AD2681" i="1"/>
  <c r="AC2681" i="1"/>
  <c r="AB2681" i="1"/>
  <c r="J2681" i="1"/>
  <c r="I2681" i="1"/>
  <c r="H2681" i="1"/>
  <c r="F2681" i="1"/>
  <c r="E2681" i="1"/>
  <c r="D2681" i="1"/>
  <c r="C2681" i="1"/>
  <c r="B2681" i="1"/>
  <c r="J2680" i="1"/>
  <c r="I2680" i="1"/>
  <c r="H2680" i="1"/>
  <c r="G2680" i="1"/>
  <c r="F2680" i="1"/>
  <c r="J2679" i="1"/>
  <c r="I2679" i="1"/>
  <c r="H2679" i="1"/>
  <c r="G2679" i="1"/>
  <c r="F2679" i="1"/>
  <c r="J2678" i="1"/>
  <c r="I2678" i="1"/>
  <c r="H2678" i="1"/>
  <c r="G2678" i="1"/>
  <c r="F2678" i="1"/>
  <c r="C2677" i="1"/>
  <c r="AG2676" i="1"/>
  <c r="J2682" i="1" s="1"/>
  <c r="I2683" i="1" s="1"/>
  <c r="AF2676" i="1"/>
  <c r="AE2676" i="1"/>
  <c r="AD2676" i="1"/>
  <c r="AC2676" i="1"/>
  <c r="AB2676" i="1"/>
  <c r="E2676" i="1"/>
  <c r="D2676" i="1"/>
  <c r="C2676" i="1"/>
  <c r="B2676" i="1"/>
  <c r="K2674" i="1"/>
  <c r="H2674" i="1"/>
  <c r="G2674" i="1"/>
  <c r="E2674" i="1"/>
  <c r="E2673" i="1"/>
  <c r="E2672" i="1"/>
  <c r="J2671" i="1"/>
  <c r="I2671" i="1"/>
  <c r="H2671" i="1"/>
  <c r="G2671" i="1"/>
  <c r="F2671" i="1"/>
  <c r="C2670" i="1"/>
  <c r="AG2669" i="1"/>
  <c r="AF2669" i="1"/>
  <c r="AE2669" i="1"/>
  <c r="J2673" i="1" s="1"/>
  <c r="AD2669" i="1"/>
  <c r="AC2669" i="1"/>
  <c r="J2672" i="1" s="1"/>
  <c r="AB2669" i="1"/>
  <c r="E2669" i="1"/>
  <c r="D2669" i="1"/>
  <c r="C2669" i="1"/>
  <c r="B2669" i="1"/>
  <c r="I2668" i="1"/>
  <c r="K2667" i="1"/>
  <c r="H2667" i="1"/>
  <c r="G2667" i="1"/>
  <c r="E2667" i="1"/>
  <c r="E2666" i="1"/>
  <c r="E2665" i="1"/>
  <c r="J2664" i="1"/>
  <c r="I2664" i="1"/>
  <c r="H2664" i="1"/>
  <c r="G2664" i="1"/>
  <c r="F2664" i="1"/>
  <c r="C2663" i="1"/>
  <c r="AG2662" i="1"/>
  <c r="AF2662" i="1"/>
  <c r="AE2662" i="1"/>
  <c r="J2666" i="1" s="1"/>
  <c r="AD2662" i="1"/>
  <c r="AC2662" i="1"/>
  <c r="J2665" i="1" s="1"/>
  <c r="AB2662" i="1"/>
  <c r="E2662" i="1"/>
  <c r="D2662" i="1"/>
  <c r="C2662" i="1"/>
  <c r="B2662" i="1"/>
  <c r="E2660" i="1"/>
  <c r="AG2659" i="1"/>
  <c r="AF2659" i="1"/>
  <c r="AE2659" i="1"/>
  <c r="AD2659" i="1"/>
  <c r="AC2659" i="1"/>
  <c r="AB2659" i="1"/>
  <c r="J2659" i="1"/>
  <c r="I2659" i="1"/>
  <c r="H2659" i="1"/>
  <c r="F2659" i="1"/>
  <c r="E2659" i="1"/>
  <c r="D2659" i="1"/>
  <c r="C2659" i="1"/>
  <c r="B2659" i="1"/>
  <c r="J2658" i="1"/>
  <c r="I2658" i="1"/>
  <c r="H2658" i="1"/>
  <c r="G2658" i="1"/>
  <c r="F2658" i="1"/>
  <c r="J2657" i="1"/>
  <c r="I2657" i="1"/>
  <c r="H2657" i="1"/>
  <c r="G2657" i="1"/>
  <c r="F2657" i="1"/>
  <c r="J2656" i="1"/>
  <c r="I2656" i="1"/>
  <c r="H2656" i="1"/>
  <c r="G2656" i="1"/>
  <c r="F2656" i="1"/>
  <c r="C2655" i="1"/>
  <c r="AG2654" i="1"/>
  <c r="J2660" i="1" s="1"/>
  <c r="AF2654" i="1"/>
  <c r="AE2654" i="1"/>
  <c r="AD2654" i="1"/>
  <c r="AC2654" i="1"/>
  <c r="AB2654" i="1"/>
  <c r="E2654" i="1"/>
  <c r="D2654" i="1"/>
  <c r="C2654" i="1"/>
  <c r="B2654" i="1"/>
  <c r="A2653" i="1"/>
  <c r="AQ2650" i="1"/>
  <c r="A2650" i="1"/>
  <c r="E2647" i="1"/>
  <c r="AG2646" i="1"/>
  <c r="AF2646" i="1"/>
  <c r="AE2646" i="1"/>
  <c r="AD2646" i="1"/>
  <c r="AC2646" i="1"/>
  <c r="AB2646" i="1"/>
  <c r="J2646" i="1"/>
  <c r="I2646" i="1"/>
  <c r="H2646" i="1"/>
  <c r="F2646" i="1"/>
  <c r="E2646" i="1"/>
  <c r="D2646" i="1"/>
  <c r="C2646" i="1"/>
  <c r="B2646" i="1"/>
  <c r="J2645" i="1"/>
  <c r="I2645" i="1"/>
  <c r="H2645" i="1"/>
  <c r="G2645" i="1"/>
  <c r="F2645" i="1"/>
  <c r="J2644" i="1"/>
  <c r="I2644" i="1"/>
  <c r="H2644" i="1"/>
  <c r="G2644" i="1"/>
  <c r="F2644" i="1"/>
  <c r="J2643" i="1"/>
  <c r="I2643" i="1"/>
  <c r="H2643" i="1"/>
  <c r="G2643" i="1"/>
  <c r="F2643" i="1"/>
  <c r="C2642" i="1"/>
  <c r="AG2641" i="1"/>
  <c r="J2647" i="1" s="1"/>
  <c r="AF2641" i="1"/>
  <c r="AE2641" i="1"/>
  <c r="AD2641" i="1"/>
  <c r="AC2641" i="1"/>
  <c r="AB2641" i="1"/>
  <c r="E2641" i="1"/>
  <c r="D2641" i="1"/>
  <c r="C2641" i="1"/>
  <c r="B2641" i="1"/>
  <c r="E2639" i="1"/>
  <c r="AG2638" i="1"/>
  <c r="AF2638" i="1"/>
  <c r="AE2638" i="1"/>
  <c r="AD2638" i="1"/>
  <c r="AC2638" i="1"/>
  <c r="AB2638" i="1"/>
  <c r="J2638" i="1"/>
  <c r="I2638" i="1"/>
  <c r="H2638" i="1"/>
  <c r="F2638" i="1"/>
  <c r="E2638" i="1"/>
  <c r="D2638" i="1"/>
  <c r="C2638" i="1"/>
  <c r="B2638" i="1"/>
  <c r="J2637" i="1"/>
  <c r="I2637" i="1"/>
  <c r="H2637" i="1"/>
  <c r="G2637" i="1"/>
  <c r="F2637" i="1"/>
  <c r="J2636" i="1"/>
  <c r="I2636" i="1"/>
  <c r="H2636" i="1"/>
  <c r="G2636" i="1"/>
  <c r="F2636" i="1"/>
  <c r="J2635" i="1"/>
  <c r="I2640" i="1" s="1"/>
  <c r="K2640" i="1" s="1"/>
  <c r="I2635" i="1"/>
  <c r="H2635" i="1"/>
  <c r="G2635" i="1"/>
  <c r="F2635" i="1"/>
  <c r="C2634" i="1"/>
  <c r="AG2633" i="1"/>
  <c r="J2639" i="1" s="1"/>
  <c r="AF2633" i="1"/>
  <c r="AE2633" i="1"/>
  <c r="AD2633" i="1"/>
  <c r="AC2633" i="1"/>
  <c r="AB2633" i="1"/>
  <c r="E2633" i="1"/>
  <c r="D2633" i="1"/>
  <c r="C2633" i="1"/>
  <c r="B2633" i="1"/>
  <c r="K2631" i="1"/>
  <c r="H2631" i="1"/>
  <c r="G2631" i="1"/>
  <c r="E2631" i="1"/>
  <c r="E2630" i="1"/>
  <c r="E2629" i="1"/>
  <c r="J2628" i="1"/>
  <c r="I2628" i="1"/>
  <c r="H2628" i="1"/>
  <c r="G2628" i="1"/>
  <c r="F2628" i="1"/>
  <c r="C2627" i="1"/>
  <c r="AG2626" i="1"/>
  <c r="AF2626" i="1"/>
  <c r="AE2626" i="1"/>
  <c r="J2630" i="1" s="1"/>
  <c r="AD2626" i="1"/>
  <c r="AC2626" i="1"/>
  <c r="J2629" i="1" s="1"/>
  <c r="AB2626" i="1"/>
  <c r="E2626" i="1"/>
  <c r="D2626" i="1"/>
  <c r="C2626" i="1"/>
  <c r="B2626" i="1"/>
  <c r="K2624" i="1"/>
  <c r="H2624" i="1"/>
  <c r="G2624" i="1"/>
  <c r="E2624" i="1"/>
  <c r="E2623" i="1"/>
  <c r="E2622" i="1"/>
  <c r="J2621" i="1"/>
  <c r="I2621" i="1"/>
  <c r="H2621" i="1"/>
  <c r="G2621" i="1"/>
  <c r="F2621" i="1"/>
  <c r="C2620" i="1"/>
  <c r="AG2619" i="1"/>
  <c r="AF2619" i="1"/>
  <c r="AE2619" i="1"/>
  <c r="J2623" i="1" s="1"/>
  <c r="AD2619" i="1"/>
  <c r="AC2619" i="1"/>
  <c r="J2622" i="1" s="1"/>
  <c r="I2625" i="1" s="1"/>
  <c r="AB2619" i="1"/>
  <c r="E2619" i="1"/>
  <c r="D2619" i="1"/>
  <c r="C2619" i="1"/>
  <c r="B2619" i="1"/>
  <c r="E2617" i="1"/>
  <c r="AG2616" i="1"/>
  <c r="AF2616" i="1"/>
  <c r="AE2616" i="1"/>
  <c r="AD2616" i="1"/>
  <c r="AC2616" i="1"/>
  <c r="AB2616" i="1"/>
  <c r="J2616" i="1"/>
  <c r="I2616" i="1"/>
  <c r="H2616" i="1"/>
  <c r="F2616" i="1"/>
  <c r="E2616" i="1"/>
  <c r="D2616" i="1"/>
  <c r="C2616" i="1"/>
  <c r="B2616" i="1"/>
  <c r="J2615" i="1"/>
  <c r="I2615" i="1"/>
  <c r="H2615" i="1"/>
  <c r="G2615" i="1"/>
  <c r="F2615" i="1"/>
  <c r="J2614" i="1"/>
  <c r="I2614" i="1"/>
  <c r="H2614" i="1"/>
  <c r="G2614" i="1"/>
  <c r="F2614" i="1"/>
  <c r="J2613" i="1"/>
  <c r="I2613" i="1"/>
  <c r="H2613" i="1"/>
  <c r="G2613" i="1"/>
  <c r="F2613" i="1"/>
  <c r="C2612" i="1"/>
  <c r="AG2611" i="1"/>
  <c r="J2617" i="1" s="1"/>
  <c r="I2618" i="1" s="1"/>
  <c r="AF2611" i="1"/>
  <c r="AE2611" i="1"/>
  <c r="AD2611" i="1"/>
  <c r="AC2611" i="1"/>
  <c r="AB2611" i="1"/>
  <c r="E2611" i="1"/>
  <c r="D2611" i="1"/>
  <c r="C2611" i="1"/>
  <c r="B2611" i="1"/>
  <c r="A2610" i="1"/>
  <c r="AQ2607" i="1"/>
  <c r="A2607" i="1"/>
  <c r="E2604" i="1"/>
  <c r="AG2603" i="1"/>
  <c r="AF2603" i="1"/>
  <c r="AE2603" i="1"/>
  <c r="AD2603" i="1"/>
  <c r="AC2603" i="1"/>
  <c r="AB2603" i="1"/>
  <c r="J2603" i="1"/>
  <c r="I2603" i="1"/>
  <c r="H2603" i="1"/>
  <c r="F2603" i="1"/>
  <c r="E2603" i="1"/>
  <c r="D2603" i="1"/>
  <c r="C2603" i="1"/>
  <c r="B2603" i="1"/>
  <c r="J2602" i="1"/>
  <c r="I2602" i="1"/>
  <c r="H2602" i="1"/>
  <c r="G2602" i="1"/>
  <c r="F2602" i="1"/>
  <c r="J2601" i="1"/>
  <c r="I2601" i="1"/>
  <c r="H2601" i="1"/>
  <c r="G2601" i="1"/>
  <c r="F2601" i="1"/>
  <c r="J2600" i="1"/>
  <c r="I2600" i="1"/>
  <c r="H2600" i="1"/>
  <c r="G2600" i="1"/>
  <c r="F2600" i="1"/>
  <c r="C2599" i="1"/>
  <c r="AG2598" i="1"/>
  <c r="J2604" i="1" s="1"/>
  <c r="AF2598" i="1"/>
  <c r="AE2598" i="1"/>
  <c r="AD2598" i="1"/>
  <c r="AC2598" i="1"/>
  <c r="AB2598" i="1"/>
  <c r="E2598" i="1"/>
  <c r="D2598" i="1"/>
  <c r="C2598" i="1"/>
  <c r="B2598" i="1"/>
  <c r="E2596" i="1"/>
  <c r="AG2595" i="1"/>
  <c r="AF2595" i="1"/>
  <c r="AE2595" i="1"/>
  <c r="AD2595" i="1"/>
  <c r="AC2595" i="1"/>
  <c r="AB2595" i="1"/>
  <c r="J2595" i="1"/>
  <c r="I2595" i="1"/>
  <c r="H2595" i="1"/>
  <c r="F2595" i="1"/>
  <c r="E2595" i="1"/>
  <c r="D2595" i="1"/>
  <c r="C2595" i="1"/>
  <c r="B2595" i="1"/>
  <c r="J2594" i="1"/>
  <c r="I2594" i="1"/>
  <c r="H2594" i="1"/>
  <c r="G2594" i="1"/>
  <c r="F2594" i="1"/>
  <c r="J2593" i="1"/>
  <c r="I2593" i="1"/>
  <c r="H2593" i="1"/>
  <c r="G2593" i="1"/>
  <c r="F2593" i="1"/>
  <c r="J2592" i="1"/>
  <c r="I2592" i="1"/>
  <c r="H2592" i="1"/>
  <c r="G2592" i="1"/>
  <c r="F2592" i="1"/>
  <c r="C2591" i="1"/>
  <c r="AG2590" i="1"/>
  <c r="J2596" i="1" s="1"/>
  <c r="AF2590" i="1"/>
  <c r="AE2590" i="1"/>
  <c r="AD2590" i="1"/>
  <c r="AC2590" i="1"/>
  <c r="AB2590" i="1"/>
  <c r="E2590" i="1"/>
  <c r="D2590" i="1"/>
  <c r="C2590" i="1"/>
  <c r="B2590" i="1"/>
  <c r="K2588" i="1"/>
  <c r="H2588" i="1"/>
  <c r="G2588" i="1"/>
  <c r="E2588" i="1"/>
  <c r="E2587" i="1"/>
  <c r="E2586" i="1"/>
  <c r="J2585" i="1"/>
  <c r="I2585" i="1"/>
  <c r="H2585" i="1"/>
  <c r="G2585" i="1"/>
  <c r="F2585" i="1"/>
  <c r="C2584" i="1"/>
  <c r="AG2583" i="1"/>
  <c r="AF2583" i="1"/>
  <c r="AE2583" i="1"/>
  <c r="J2587" i="1" s="1"/>
  <c r="AD2583" i="1"/>
  <c r="AC2583" i="1"/>
  <c r="J2586" i="1" s="1"/>
  <c r="AB2583" i="1"/>
  <c r="E2583" i="1"/>
  <c r="D2583" i="1"/>
  <c r="C2583" i="1"/>
  <c r="B2583" i="1"/>
  <c r="K2581" i="1"/>
  <c r="H2581" i="1"/>
  <c r="G2581" i="1"/>
  <c r="E2581" i="1"/>
  <c r="E2580" i="1"/>
  <c r="E2579" i="1"/>
  <c r="J2578" i="1"/>
  <c r="I2578" i="1"/>
  <c r="H2578" i="1"/>
  <c r="G2578" i="1"/>
  <c r="F2578" i="1"/>
  <c r="C2577" i="1"/>
  <c r="AG2576" i="1"/>
  <c r="AF2576" i="1"/>
  <c r="AE2576" i="1"/>
  <c r="J2580" i="1" s="1"/>
  <c r="AD2576" i="1"/>
  <c r="AC2576" i="1"/>
  <c r="J2579" i="1" s="1"/>
  <c r="AB2576" i="1"/>
  <c r="E2576" i="1"/>
  <c r="D2576" i="1"/>
  <c r="C2576" i="1"/>
  <c r="B2576" i="1"/>
  <c r="E2574" i="1"/>
  <c r="AG2573" i="1"/>
  <c r="AF2573" i="1"/>
  <c r="AE2573" i="1"/>
  <c r="AD2573" i="1"/>
  <c r="AC2573" i="1"/>
  <c r="AB2573" i="1"/>
  <c r="J2573" i="1"/>
  <c r="I2573" i="1"/>
  <c r="H2573" i="1"/>
  <c r="F2573" i="1"/>
  <c r="E2573" i="1"/>
  <c r="D2573" i="1"/>
  <c r="C2573" i="1"/>
  <c r="B2573" i="1"/>
  <c r="J2572" i="1"/>
  <c r="I2572" i="1"/>
  <c r="H2572" i="1"/>
  <c r="G2572" i="1"/>
  <c r="F2572" i="1"/>
  <c r="J2571" i="1"/>
  <c r="I2571" i="1"/>
  <c r="H2571" i="1"/>
  <c r="G2571" i="1"/>
  <c r="F2571" i="1"/>
  <c r="J2570" i="1"/>
  <c r="I2570" i="1"/>
  <c r="H2570" i="1"/>
  <c r="G2570" i="1"/>
  <c r="F2570" i="1"/>
  <c r="C2569" i="1"/>
  <c r="AG2568" i="1"/>
  <c r="J2574" i="1" s="1"/>
  <c r="AF2568" i="1"/>
  <c r="AE2568" i="1"/>
  <c r="AD2568" i="1"/>
  <c r="AC2568" i="1"/>
  <c r="AB2568" i="1"/>
  <c r="E2568" i="1"/>
  <c r="D2568" i="1"/>
  <c r="C2568" i="1"/>
  <c r="B2568" i="1"/>
  <c r="A2567" i="1"/>
  <c r="AQ2564" i="1"/>
  <c r="A2564" i="1"/>
  <c r="E2561" i="1"/>
  <c r="AG2560" i="1"/>
  <c r="AF2560" i="1"/>
  <c r="AE2560" i="1"/>
  <c r="AD2560" i="1"/>
  <c r="AC2560" i="1"/>
  <c r="AB2560" i="1"/>
  <c r="J2560" i="1"/>
  <c r="I2560" i="1"/>
  <c r="H2560" i="1"/>
  <c r="F2560" i="1"/>
  <c r="E2560" i="1"/>
  <c r="D2560" i="1"/>
  <c r="C2560" i="1"/>
  <c r="B2560" i="1"/>
  <c r="J2559" i="1"/>
  <c r="I2559" i="1"/>
  <c r="H2559" i="1"/>
  <c r="G2559" i="1"/>
  <c r="F2559" i="1"/>
  <c r="J2558" i="1"/>
  <c r="I2558" i="1"/>
  <c r="H2558" i="1"/>
  <c r="G2558" i="1"/>
  <c r="F2558" i="1"/>
  <c r="J2557" i="1"/>
  <c r="I2562" i="1" s="1"/>
  <c r="I2557" i="1"/>
  <c r="H2557" i="1"/>
  <c r="G2557" i="1"/>
  <c r="F2557" i="1"/>
  <c r="C2556" i="1"/>
  <c r="AG2555" i="1"/>
  <c r="J2561" i="1" s="1"/>
  <c r="AF2555" i="1"/>
  <c r="AE2555" i="1"/>
  <c r="AD2555" i="1"/>
  <c r="AC2555" i="1"/>
  <c r="AB2555" i="1"/>
  <c r="E2555" i="1"/>
  <c r="D2555" i="1"/>
  <c r="C2555" i="1"/>
  <c r="B2555" i="1"/>
  <c r="E2553" i="1"/>
  <c r="AG2552" i="1"/>
  <c r="AF2552" i="1"/>
  <c r="AE2552" i="1"/>
  <c r="AD2552" i="1"/>
  <c r="AC2552" i="1"/>
  <c r="AB2552" i="1"/>
  <c r="J2552" i="1"/>
  <c r="I2552" i="1"/>
  <c r="H2552" i="1"/>
  <c r="F2552" i="1"/>
  <c r="E2552" i="1"/>
  <c r="D2552" i="1"/>
  <c r="C2552" i="1"/>
  <c r="B2552" i="1"/>
  <c r="J2551" i="1"/>
  <c r="I2551" i="1"/>
  <c r="H2551" i="1"/>
  <c r="G2551" i="1"/>
  <c r="F2551" i="1"/>
  <c r="J2550" i="1"/>
  <c r="I2550" i="1"/>
  <c r="H2550" i="1"/>
  <c r="G2550" i="1"/>
  <c r="F2550" i="1"/>
  <c r="J2549" i="1"/>
  <c r="I2549" i="1"/>
  <c r="H2549" i="1"/>
  <c r="G2549" i="1"/>
  <c r="F2549" i="1"/>
  <c r="C2548" i="1"/>
  <c r="AG2547" i="1"/>
  <c r="AF2547" i="1"/>
  <c r="AE2547" i="1"/>
  <c r="AD2547" i="1"/>
  <c r="AC2547" i="1"/>
  <c r="AB2547" i="1"/>
  <c r="E2547" i="1"/>
  <c r="D2547" i="1"/>
  <c r="C2547" i="1"/>
  <c r="B2547" i="1"/>
  <c r="K2545" i="1"/>
  <c r="H2545" i="1"/>
  <c r="G2545" i="1"/>
  <c r="E2545" i="1"/>
  <c r="E2544" i="1"/>
  <c r="E2543" i="1"/>
  <c r="J2542" i="1"/>
  <c r="I2542" i="1"/>
  <c r="H2542" i="1"/>
  <c r="G2542" i="1"/>
  <c r="F2542" i="1"/>
  <c r="C2541" i="1"/>
  <c r="AG2540" i="1"/>
  <c r="AF2540" i="1"/>
  <c r="AE2540" i="1"/>
  <c r="J2544" i="1" s="1"/>
  <c r="AD2540" i="1"/>
  <c r="AC2540" i="1"/>
  <c r="J2543" i="1" s="1"/>
  <c r="AB2540" i="1"/>
  <c r="E2540" i="1"/>
  <c r="D2540" i="1"/>
  <c r="C2540" i="1"/>
  <c r="B2540" i="1"/>
  <c r="K2538" i="1"/>
  <c r="H2538" i="1"/>
  <c r="G2538" i="1"/>
  <c r="E2538" i="1"/>
  <c r="E2537" i="1"/>
  <c r="E2536" i="1"/>
  <c r="J2535" i="1"/>
  <c r="I2535" i="1"/>
  <c r="H2535" i="1"/>
  <c r="G2535" i="1"/>
  <c r="F2535" i="1"/>
  <c r="C2534" i="1"/>
  <c r="AG2533" i="1"/>
  <c r="AF2533" i="1"/>
  <c r="AE2533" i="1"/>
  <c r="J2537" i="1" s="1"/>
  <c r="AD2533" i="1"/>
  <c r="AC2533" i="1"/>
  <c r="J2536" i="1" s="1"/>
  <c r="I2539" i="1" s="1"/>
  <c r="AB2533" i="1"/>
  <c r="E2533" i="1"/>
  <c r="D2533" i="1"/>
  <c r="C2533" i="1"/>
  <c r="B2533" i="1"/>
  <c r="E2531" i="1"/>
  <c r="AG2530" i="1"/>
  <c r="AF2530" i="1"/>
  <c r="AE2530" i="1"/>
  <c r="AD2530" i="1"/>
  <c r="AC2530" i="1"/>
  <c r="AB2530" i="1"/>
  <c r="J2530" i="1"/>
  <c r="I2530" i="1"/>
  <c r="H2530" i="1"/>
  <c r="F2530" i="1"/>
  <c r="E2530" i="1"/>
  <c r="D2530" i="1"/>
  <c r="C2530" i="1"/>
  <c r="B2530" i="1"/>
  <c r="J2529" i="1"/>
  <c r="I2529" i="1"/>
  <c r="H2529" i="1"/>
  <c r="G2529" i="1"/>
  <c r="F2529" i="1"/>
  <c r="J2528" i="1"/>
  <c r="I2528" i="1"/>
  <c r="H2528" i="1"/>
  <c r="G2528" i="1"/>
  <c r="F2528" i="1"/>
  <c r="J2527" i="1"/>
  <c r="I2527" i="1"/>
  <c r="H2527" i="1"/>
  <c r="G2527" i="1"/>
  <c r="F2527" i="1"/>
  <c r="C2526" i="1"/>
  <c r="AG2525" i="1"/>
  <c r="J2531" i="1" s="1"/>
  <c r="I2532" i="1" s="1"/>
  <c r="AF2525" i="1"/>
  <c r="AE2525" i="1"/>
  <c r="AD2525" i="1"/>
  <c r="AC2525" i="1"/>
  <c r="AB2525" i="1"/>
  <c r="E2525" i="1"/>
  <c r="D2525" i="1"/>
  <c r="C2525" i="1"/>
  <c r="B2525" i="1"/>
  <c r="AP2524" i="1"/>
  <c r="A2524" i="1"/>
  <c r="A2522" i="1"/>
  <c r="A2519" i="1"/>
  <c r="AQ2516" i="1"/>
  <c r="A2516" i="1"/>
  <c r="K2513" i="1"/>
  <c r="H2513" i="1"/>
  <c r="G2513" i="1"/>
  <c r="E2513" i="1"/>
  <c r="E2512" i="1"/>
  <c r="J2511" i="1"/>
  <c r="E2511" i="1"/>
  <c r="J2510" i="1"/>
  <c r="E2510" i="1"/>
  <c r="J2509" i="1"/>
  <c r="I2509" i="1"/>
  <c r="H2509" i="1"/>
  <c r="G2509" i="1"/>
  <c r="F2509" i="1"/>
  <c r="J2508" i="1"/>
  <c r="I2508" i="1"/>
  <c r="H2508" i="1"/>
  <c r="G2508" i="1"/>
  <c r="F2508" i="1"/>
  <c r="J2507" i="1"/>
  <c r="I2514" i="1" s="1"/>
  <c r="I2507" i="1"/>
  <c r="H2507" i="1"/>
  <c r="G2507" i="1"/>
  <c r="F2507" i="1"/>
  <c r="AG2506" i="1"/>
  <c r="J2512" i="1" s="1"/>
  <c r="AF2506" i="1"/>
  <c r="AE2506" i="1"/>
  <c r="AD2506" i="1"/>
  <c r="AC2506" i="1"/>
  <c r="AB2506" i="1"/>
  <c r="E2506" i="1"/>
  <c r="D2506" i="1"/>
  <c r="C2506" i="1"/>
  <c r="B2506" i="1"/>
  <c r="K2504" i="1"/>
  <c r="H2504" i="1"/>
  <c r="G2504" i="1"/>
  <c r="E2504" i="1"/>
  <c r="J2503" i="1"/>
  <c r="E2503" i="1"/>
  <c r="J2502" i="1"/>
  <c r="E2502" i="1"/>
  <c r="J2501" i="1"/>
  <c r="E2501" i="1"/>
  <c r="J2500" i="1"/>
  <c r="I2500" i="1"/>
  <c r="H2500" i="1"/>
  <c r="G2500" i="1"/>
  <c r="F2500" i="1"/>
  <c r="J2499" i="1"/>
  <c r="I2499" i="1"/>
  <c r="H2499" i="1"/>
  <c r="G2499" i="1"/>
  <c r="F2499" i="1"/>
  <c r="J2498" i="1"/>
  <c r="I2505" i="1" s="1"/>
  <c r="I2498" i="1"/>
  <c r="H2498" i="1"/>
  <c r="G2498" i="1"/>
  <c r="F2498" i="1"/>
  <c r="AG2497" i="1"/>
  <c r="AF2497" i="1"/>
  <c r="AE2497" i="1"/>
  <c r="AD2497" i="1"/>
  <c r="AC2497" i="1"/>
  <c r="AB2497" i="1"/>
  <c r="E2497" i="1"/>
  <c r="D2497" i="1"/>
  <c r="C2497" i="1"/>
  <c r="B2497" i="1"/>
  <c r="K2495" i="1"/>
  <c r="H2495" i="1"/>
  <c r="G2495" i="1"/>
  <c r="E2495" i="1"/>
  <c r="J2494" i="1"/>
  <c r="E2494" i="1"/>
  <c r="J2493" i="1"/>
  <c r="E2493" i="1"/>
  <c r="J2492" i="1"/>
  <c r="E2492" i="1"/>
  <c r="J2491" i="1"/>
  <c r="I2491" i="1"/>
  <c r="H2491" i="1"/>
  <c r="G2491" i="1"/>
  <c r="F2491" i="1"/>
  <c r="J2490" i="1"/>
  <c r="I2490" i="1"/>
  <c r="H2490" i="1"/>
  <c r="G2490" i="1"/>
  <c r="F2490" i="1"/>
  <c r="J2489" i="1"/>
  <c r="I2496" i="1" s="1"/>
  <c r="I2489" i="1"/>
  <c r="H2489" i="1"/>
  <c r="G2489" i="1"/>
  <c r="F2489" i="1"/>
  <c r="AG2488" i="1"/>
  <c r="AF2488" i="1"/>
  <c r="AE2488" i="1"/>
  <c r="AD2488" i="1"/>
  <c r="AC2488" i="1"/>
  <c r="AB2488" i="1"/>
  <c r="E2488" i="1"/>
  <c r="D2488" i="1"/>
  <c r="C2488" i="1"/>
  <c r="B2488" i="1"/>
  <c r="K2486" i="1"/>
  <c r="H2486" i="1"/>
  <c r="G2486" i="1"/>
  <c r="E2486" i="1"/>
  <c r="J2485" i="1"/>
  <c r="E2485" i="1"/>
  <c r="J2484" i="1"/>
  <c r="E2484" i="1"/>
  <c r="J2483" i="1"/>
  <c r="E2483" i="1"/>
  <c r="J2482" i="1"/>
  <c r="I2482" i="1"/>
  <c r="H2482" i="1"/>
  <c r="G2482" i="1"/>
  <c r="F2482" i="1"/>
  <c r="J2481" i="1"/>
  <c r="I2481" i="1"/>
  <c r="H2481" i="1"/>
  <c r="G2481" i="1"/>
  <c r="F2481" i="1"/>
  <c r="J2480" i="1"/>
  <c r="I2487" i="1" s="1"/>
  <c r="I2480" i="1"/>
  <c r="H2480" i="1"/>
  <c r="G2480" i="1"/>
  <c r="F2480" i="1"/>
  <c r="AG2479" i="1"/>
  <c r="AF2479" i="1"/>
  <c r="AE2479" i="1"/>
  <c r="AD2479" i="1"/>
  <c r="AC2479" i="1"/>
  <c r="AB2479" i="1"/>
  <c r="E2479" i="1"/>
  <c r="D2479" i="1"/>
  <c r="C2479" i="1"/>
  <c r="B2479" i="1"/>
  <c r="K2477" i="1"/>
  <c r="H2477" i="1"/>
  <c r="G2477" i="1"/>
  <c r="E2477" i="1"/>
  <c r="J2476" i="1"/>
  <c r="E2476" i="1"/>
  <c r="J2475" i="1"/>
  <c r="E2475" i="1"/>
  <c r="J2474" i="1"/>
  <c r="E2474" i="1"/>
  <c r="J2473" i="1"/>
  <c r="I2473" i="1"/>
  <c r="H2473" i="1"/>
  <c r="G2473" i="1"/>
  <c r="F2473" i="1"/>
  <c r="J2472" i="1"/>
  <c r="I2472" i="1"/>
  <c r="H2472" i="1"/>
  <c r="G2472" i="1"/>
  <c r="F2472" i="1"/>
  <c r="J2471" i="1"/>
  <c r="I2478" i="1" s="1"/>
  <c r="I2471" i="1"/>
  <c r="H2471" i="1"/>
  <c r="G2471" i="1"/>
  <c r="F2471" i="1"/>
  <c r="AG2470" i="1"/>
  <c r="AF2470" i="1"/>
  <c r="AE2470" i="1"/>
  <c r="AD2470" i="1"/>
  <c r="AC2470" i="1"/>
  <c r="AB2470" i="1"/>
  <c r="E2470" i="1"/>
  <c r="D2470" i="1"/>
  <c r="C2470" i="1"/>
  <c r="B2470" i="1"/>
  <c r="K2468" i="1"/>
  <c r="H2468" i="1"/>
  <c r="G2468" i="1"/>
  <c r="E2468" i="1"/>
  <c r="J2467" i="1"/>
  <c r="E2467" i="1"/>
  <c r="J2466" i="1"/>
  <c r="E2466" i="1"/>
  <c r="J2465" i="1"/>
  <c r="E2465" i="1"/>
  <c r="J2464" i="1"/>
  <c r="I2464" i="1"/>
  <c r="H2464" i="1"/>
  <c r="G2464" i="1"/>
  <c r="F2464" i="1"/>
  <c r="J2463" i="1"/>
  <c r="I2463" i="1"/>
  <c r="H2463" i="1"/>
  <c r="G2463" i="1"/>
  <c r="F2463" i="1"/>
  <c r="J2462" i="1"/>
  <c r="I2469" i="1" s="1"/>
  <c r="I2462" i="1"/>
  <c r="H2462" i="1"/>
  <c r="G2462" i="1"/>
  <c r="F2462" i="1"/>
  <c r="AG2461" i="1"/>
  <c r="AF2461" i="1"/>
  <c r="AE2461" i="1"/>
  <c r="AD2461" i="1"/>
  <c r="AC2461" i="1"/>
  <c r="AB2461" i="1"/>
  <c r="E2461" i="1"/>
  <c r="D2461" i="1"/>
  <c r="C2461" i="1"/>
  <c r="B2461" i="1"/>
  <c r="K2459" i="1"/>
  <c r="H2459" i="1"/>
  <c r="G2459" i="1"/>
  <c r="E2459" i="1"/>
  <c r="J2458" i="1"/>
  <c r="E2458" i="1"/>
  <c r="E2457" i="1"/>
  <c r="J2456" i="1"/>
  <c r="E2456" i="1"/>
  <c r="J2455" i="1"/>
  <c r="I2455" i="1"/>
  <c r="H2455" i="1"/>
  <c r="G2455" i="1"/>
  <c r="F2455" i="1"/>
  <c r="J2454" i="1"/>
  <c r="I2460" i="1" s="1"/>
  <c r="I2454" i="1"/>
  <c r="H2454" i="1"/>
  <c r="G2454" i="1"/>
  <c r="F2454" i="1"/>
  <c r="J2453" i="1"/>
  <c r="I2453" i="1"/>
  <c r="H2453" i="1"/>
  <c r="G2453" i="1"/>
  <c r="F2453" i="1"/>
  <c r="AG2452" i="1"/>
  <c r="AF2452" i="1"/>
  <c r="AE2452" i="1"/>
  <c r="J2457" i="1" s="1"/>
  <c r="AD2452" i="1"/>
  <c r="AC2452" i="1"/>
  <c r="AB2452" i="1"/>
  <c r="E2452" i="1"/>
  <c r="D2452" i="1"/>
  <c r="C2452" i="1"/>
  <c r="B2452" i="1"/>
  <c r="K2450" i="1"/>
  <c r="H2450" i="1"/>
  <c r="G2450" i="1"/>
  <c r="E2450" i="1"/>
  <c r="E2449" i="1"/>
  <c r="J2448" i="1"/>
  <c r="E2448" i="1"/>
  <c r="E2447" i="1"/>
  <c r="J2446" i="1"/>
  <c r="I2446" i="1"/>
  <c r="H2446" i="1"/>
  <c r="G2446" i="1"/>
  <c r="F2446" i="1"/>
  <c r="J2445" i="1"/>
  <c r="I2445" i="1"/>
  <c r="H2445" i="1"/>
  <c r="G2445" i="1"/>
  <c r="F2445" i="1"/>
  <c r="J2444" i="1"/>
  <c r="I2451" i="1" s="1"/>
  <c r="K2451" i="1" s="1"/>
  <c r="I2444" i="1"/>
  <c r="H2444" i="1"/>
  <c r="G2444" i="1"/>
  <c r="F2444" i="1"/>
  <c r="AG2443" i="1"/>
  <c r="J2449" i="1" s="1"/>
  <c r="AF2443" i="1"/>
  <c r="AE2443" i="1"/>
  <c r="AD2443" i="1"/>
  <c r="AC2443" i="1"/>
  <c r="J2447" i="1" s="1"/>
  <c r="AB2443" i="1"/>
  <c r="E2443" i="1"/>
  <c r="D2443" i="1"/>
  <c r="C2443" i="1"/>
  <c r="B2443" i="1"/>
  <c r="A2442" i="1"/>
  <c r="AQ2439" i="1"/>
  <c r="A2439" i="1"/>
  <c r="K2436" i="1"/>
  <c r="H2436" i="1"/>
  <c r="G2436" i="1"/>
  <c r="E2436" i="1"/>
  <c r="E2435" i="1"/>
  <c r="J2434" i="1"/>
  <c r="E2434" i="1"/>
  <c r="E2433" i="1"/>
  <c r="J2432" i="1"/>
  <c r="I2432" i="1"/>
  <c r="H2432" i="1"/>
  <c r="G2432" i="1"/>
  <c r="F2432" i="1"/>
  <c r="J2431" i="1"/>
  <c r="I2431" i="1"/>
  <c r="H2431" i="1"/>
  <c r="G2431" i="1"/>
  <c r="F2431" i="1"/>
  <c r="J2430" i="1"/>
  <c r="I2430" i="1"/>
  <c r="H2430" i="1"/>
  <c r="G2430" i="1"/>
  <c r="F2430" i="1"/>
  <c r="AG2429" i="1"/>
  <c r="J2435" i="1" s="1"/>
  <c r="AF2429" i="1"/>
  <c r="AE2429" i="1"/>
  <c r="AD2429" i="1"/>
  <c r="AC2429" i="1"/>
  <c r="J2433" i="1" s="1"/>
  <c r="AB2429" i="1"/>
  <c r="E2429" i="1"/>
  <c r="D2429" i="1"/>
  <c r="C2429" i="1"/>
  <c r="B2429" i="1"/>
  <c r="K2427" i="1"/>
  <c r="H2427" i="1"/>
  <c r="G2427" i="1"/>
  <c r="E2427" i="1"/>
  <c r="J2426" i="1"/>
  <c r="E2426" i="1"/>
  <c r="E2425" i="1"/>
  <c r="J2424" i="1"/>
  <c r="E2424" i="1"/>
  <c r="J2423" i="1"/>
  <c r="I2423" i="1"/>
  <c r="H2423" i="1"/>
  <c r="G2423" i="1"/>
  <c r="F2423" i="1"/>
  <c r="J2422" i="1"/>
  <c r="I2422" i="1"/>
  <c r="H2422" i="1"/>
  <c r="G2422" i="1"/>
  <c r="F2422" i="1"/>
  <c r="J2421" i="1"/>
  <c r="I2421" i="1"/>
  <c r="H2421" i="1"/>
  <c r="G2421" i="1"/>
  <c r="F2421" i="1"/>
  <c r="AG2420" i="1"/>
  <c r="AF2420" i="1"/>
  <c r="AE2420" i="1"/>
  <c r="J2425" i="1" s="1"/>
  <c r="AD2420" i="1"/>
  <c r="AC2420" i="1"/>
  <c r="AB2420" i="1"/>
  <c r="E2420" i="1"/>
  <c r="D2420" i="1"/>
  <c r="C2420" i="1"/>
  <c r="B2420" i="1"/>
  <c r="K2418" i="1"/>
  <c r="H2418" i="1"/>
  <c r="G2418" i="1"/>
  <c r="E2418" i="1"/>
  <c r="E2417" i="1"/>
  <c r="E2416" i="1"/>
  <c r="E2415" i="1"/>
  <c r="J2414" i="1"/>
  <c r="I2414" i="1"/>
  <c r="H2414" i="1"/>
  <c r="G2414" i="1"/>
  <c r="F2414" i="1"/>
  <c r="J2413" i="1"/>
  <c r="I2413" i="1"/>
  <c r="H2413" i="1"/>
  <c r="G2413" i="1"/>
  <c r="F2413" i="1"/>
  <c r="J2412" i="1"/>
  <c r="I2412" i="1"/>
  <c r="H2412" i="1"/>
  <c r="G2412" i="1"/>
  <c r="F2412" i="1"/>
  <c r="AG2411" i="1"/>
  <c r="J2417" i="1" s="1"/>
  <c r="AF2411" i="1"/>
  <c r="AE2411" i="1"/>
  <c r="J2416" i="1" s="1"/>
  <c r="AD2411" i="1"/>
  <c r="AC2411" i="1"/>
  <c r="J2415" i="1" s="1"/>
  <c r="I2419" i="1" s="1"/>
  <c r="AB2411" i="1"/>
  <c r="E2411" i="1"/>
  <c r="D2411" i="1"/>
  <c r="C2411" i="1"/>
  <c r="B2411" i="1"/>
  <c r="K2409" i="1"/>
  <c r="H2409" i="1"/>
  <c r="G2409" i="1"/>
  <c r="E2409" i="1"/>
  <c r="E2408" i="1"/>
  <c r="E2407" i="1"/>
  <c r="E2406" i="1"/>
  <c r="J2405" i="1"/>
  <c r="I2405" i="1"/>
  <c r="H2405" i="1"/>
  <c r="G2405" i="1"/>
  <c r="F2405" i="1"/>
  <c r="J2404" i="1"/>
  <c r="I2404" i="1"/>
  <c r="H2404" i="1"/>
  <c r="G2404" i="1"/>
  <c r="F2404" i="1"/>
  <c r="J2403" i="1"/>
  <c r="I2403" i="1"/>
  <c r="H2403" i="1"/>
  <c r="G2403" i="1"/>
  <c r="F2403" i="1"/>
  <c r="AG2402" i="1"/>
  <c r="J2408" i="1" s="1"/>
  <c r="AF2402" i="1"/>
  <c r="AE2402" i="1"/>
  <c r="J2407" i="1" s="1"/>
  <c r="AD2402" i="1"/>
  <c r="AC2402" i="1"/>
  <c r="J2406" i="1" s="1"/>
  <c r="AB2402" i="1"/>
  <c r="E2402" i="1"/>
  <c r="D2402" i="1"/>
  <c r="C2402" i="1"/>
  <c r="B2402" i="1"/>
  <c r="K2400" i="1"/>
  <c r="H2400" i="1"/>
  <c r="G2400" i="1"/>
  <c r="E2400" i="1"/>
  <c r="E2399" i="1"/>
  <c r="E2398" i="1"/>
  <c r="E2397" i="1"/>
  <c r="J2396" i="1"/>
  <c r="I2396" i="1"/>
  <c r="H2396" i="1"/>
  <c r="G2396" i="1"/>
  <c r="F2396" i="1"/>
  <c r="J2395" i="1"/>
  <c r="I2395" i="1"/>
  <c r="H2395" i="1"/>
  <c r="G2395" i="1"/>
  <c r="F2395" i="1"/>
  <c r="J2394" i="1"/>
  <c r="I2394" i="1"/>
  <c r="H2394" i="1"/>
  <c r="G2394" i="1"/>
  <c r="F2394" i="1"/>
  <c r="AG2393" i="1"/>
  <c r="J2399" i="1" s="1"/>
  <c r="AF2393" i="1"/>
  <c r="AE2393" i="1"/>
  <c r="J2398" i="1" s="1"/>
  <c r="AD2393" i="1"/>
  <c r="AC2393" i="1"/>
  <c r="J2397" i="1" s="1"/>
  <c r="AB2393" i="1"/>
  <c r="E2393" i="1"/>
  <c r="D2393" i="1"/>
  <c r="C2393" i="1"/>
  <c r="B2393" i="1"/>
  <c r="K2391" i="1"/>
  <c r="H2391" i="1"/>
  <c r="G2391" i="1"/>
  <c r="E2391" i="1"/>
  <c r="E2390" i="1"/>
  <c r="E2389" i="1"/>
  <c r="J2388" i="1"/>
  <c r="E2388" i="1"/>
  <c r="J2387" i="1"/>
  <c r="I2387" i="1"/>
  <c r="H2387" i="1"/>
  <c r="G2387" i="1"/>
  <c r="F2387" i="1"/>
  <c r="J2386" i="1"/>
  <c r="I2386" i="1"/>
  <c r="H2386" i="1"/>
  <c r="G2386" i="1"/>
  <c r="F2386" i="1"/>
  <c r="J2385" i="1"/>
  <c r="I2385" i="1"/>
  <c r="H2385" i="1"/>
  <c r="G2385" i="1"/>
  <c r="F2385" i="1"/>
  <c r="AG2384" i="1"/>
  <c r="J2390" i="1" s="1"/>
  <c r="AF2384" i="1"/>
  <c r="AE2384" i="1"/>
  <c r="J2389" i="1" s="1"/>
  <c r="AD2384" i="1"/>
  <c r="AC2384" i="1"/>
  <c r="AB2384" i="1"/>
  <c r="E2384" i="1"/>
  <c r="D2384" i="1"/>
  <c r="C2384" i="1"/>
  <c r="B2384" i="1"/>
  <c r="K2382" i="1"/>
  <c r="H2382" i="1"/>
  <c r="G2382" i="1"/>
  <c r="E2382" i="1"/>
  <c r="E2381" i="1"/>
  <c r="E2380" i="1"/>
  <c r="E2379" i="1"/>
  <c r="J2378" i="1"/>
  <c r="I2378" i="1"/>
  <c r="H2378" i="1"/>
  <c r="G2378" i="1"/>
  <c r="F2378" i="1"/>
  <c r="J2377" i="1"/>
  <c r="I2377" i="1"/>
  <c r="H2377" i="1"/>
  <c r="G2377" i="1"/>
  <c r="F2377" i="1"/>
  <c r="J2376" i="1"/>
  <c r="I2376" i="1"/>
  <c r="H2376" i="1"/>
  <c r="G2376" i="1"/>
  <c r="F2376" i="1"/>
  <c r="AG2375" i="1"/>
  <c r="J2381" i="1" s="1"/>
  <c r="AF2375" i="1"/>
  <c r="AE2375" i="1"/>
  <c r="J2380" i="1" s="1"/>
  <c r="AD2375" i="1"/>
  <c r="AC2375" i="1"/>
  <c r="J2379" i="1" s="1"/>
  <c r="I2383" i="1" s="1"/>
  <c r="AB2375" i="1"/>
  <c r="E2375" i="1"/>
  <c r="D2375" i="1"/>
  <c r="C2375" i="1"/>
  <c r="B2375" i="1"/>
  <c r="K2373" i="1"/>
  <c r="H2373" i="1"/>
  <c r="G2373" i="1"/>
  <c r="E2373" i="1"/>
  <c r="E2372" i="1"/>
  <c r="E2371" i="1"/>
  <c r="E2370" i="1"/>
  <c r="J2369" i="1"/>
  <c r="I2369" i="1"/>
  <c r="H2369" i="1"/>
  <c r="G2369" i="1"/>
  <c r="F2369" i="1"/>
  <c r="J2368" i="1"/>
  <c r="I2368" i="1"/>
  <c r="H2368" i="1"/>
  <c r="G2368" i="1"/>
  <c r="F2368" i="1"/>
  <c r="J2367" i="1"/>
  <c r="I2367" i="1"/>
  <c r="H2367" i="1"/>
  <c r="G2367" i="1"/>
  <c r="F2367" i="1"/>
  <c r="AG2366" i="1"/>
  <c r="J2372" i="1" s="1"/>
  <c r="AF2366" i="1"/>
  <c r="AE2366" i="1"/>
  <c r="J2371" i="1" s="1"/>
  <c r="AD2366" i="1"/>
  <c r="AC2366" i="1"/>
  <c r="J2370" i="1" s="1"/>
  <c r="AB2366" i="1"/>
  <c r="E2366" i="1"/>
  <c r="D2366" i="1"/>
  <c r="C2366" i="1"/>
  <c r="B2366" i="1"/>
  <c r="A2365" i="1"/>
  <c r="AQ2362" i="1"/>
  <c r="A2362" i="1"/>
  <c r="K2359" i="1"/>
  <c r="H2359" i="1"/>
  <c r="G2359" i="1"/>
  <c r="E2359" i="1"/>
  <c r="E2358" i="1"/>
  <c r="J2357" i="1"/>
  <c r="E2357" i="1"/>
  <c r="E2356" i="1"/>
  <c r="J2355" i="1"/>
  <c r="I2355" i="1"/>
  <c r="H2355" i="1"/>
  <c r="G2355" i="1"/>
  <c r="F2355" i="1"/>
  <c r="J2354" i="1"/>
  <c r="I2354" i="1"/>
  <c r="H2354" i="1"/>
  <c r="G2354" i="1"/>
  <c r="F2354" i="1"/>
  <c r="J2353" i="1"/>
  <c r="I2360" i="1" s="1"/>
  <c r="K2360" i="1" s="1"/>
  <c r="I2353" i="1"/>
  <c r="H2353" i="1"/>
  <c r="G2353" i="1"/>
  <c r="F2353" i="1"/>
  <c r="AG2352" i="1"/>
  <c r="J2358" i="1" s="1"/>
  <c r="AF2352" i="1"/>
  <c r="AE2352" i="1"/>
  <c r="AD2352" i="1"/>
  <c r="AC2352" i="1"/>
  <c r="J2356" i="1" s="1"/>
  <c r="AB2352" i="1"/>
  <c r="E2352" i="1"/>
  <c r="D2352" i="1"/>
  <c r="C2352" i="1"/>
  <c r="B2352" i="1"/>
  <c r="K2350" i="1"/>
  <c r="H2350" i="1"/>
  <c r="G2350" i="1"/>
  <c r="E2350" i="1"/>
  <c r="J2349" i="1"/>
  <c r="E2349" i="1"/>
  <c r="E2348" i="1"/>
  <c r="J2347" i="1"/>
  <c r="E2347" i="1"/>
  <c r="J2346" i="1"/>
  <c r="I2346" i="1"/>
  <c r="H2346" i="1"/>
  <c r="G2346" i="1"/>
  <c r="F2346" i="1"/>
  <c r="J2345" i="1"/>
  <c r="I2345" i="1"/>
  <c r="H2345" i="1"/>
  <c r="G2345" i="1"/>
  <c r="F2345" i="1"/>
  <c r="J2344" i="1"/>
  <c r="I2351" i="1" s="1"/>
  <c r="I2344" i="1"/>
  <c r="H2344" i="1"/>
  <c r="G2344" i="1"/>
  <c r="F2344" i="1"/>
  <c r="AG2343" i="1"/>
  <c r="AF2343" i="1"/>
  <c r="AE2343" i="1"/>
  <c r="J2348" i="1" s="1"/>
  <c r="AD2343" i="1"/>
  <c r="AC2343" i="1"/>
  <c r="AB2343" i="1"/>
  <c r="E2343" i="1"/>
  <c r="D2343" i="1"/>
  <c r="C2343" i="1"/>
  <c r="B2343" i="1"/>
  <c r="K2341" i="1"/>
  <c r="H2341" i="1"/>
  <c r="G2341" i="1"/>
  <c r="E2341" i="1"/>
  <c r="E2340" i="1"/>
  <c r="J2339" i="1"/>
  <c r="E2339" i="1"/>
  <c r="E2338" i="1"/>
  <c r="J2337" i="1"/>
  <c r="I2337" i="1"/>
  <c r="H2337" i="1"/>
  <c r="G2337" i="1"/>
  <c r="F2337" i="1"/>
  <c r="J2336" i="1"/>
  <c r="I2336" i="1"/>
  <c r="H2336" i="1"/>
  <c r="G2336" i="1"/>
  <c r="F2336" i="1"/>
  <c r="J2335" i="1"/>
  <c r="I2335" i="1"/>
  <c r="H2335" i="1"/>
  <c r="G2335" i="1"/>
  <c r="F2335" i="1"/>
  <c r="AG2334" i="1"/>
  <c r="J2340" i="1" s="1"/>
  <c r="AF2334" i="1"/>
  <c r="AE2334" i="1"/>
  <c r="AD2334" i="1"/>
  <c r="AC2334" i="1"/>
  <c r="J2338" i="1" s="1"/>
  <c r="AB2334" i="1"/>
  <c r="E2334" i="1"/>
  <c r="D2334" i="1"/>
  <c r="C2334" i="1"/>
  <c r="B2334" i="1"/>
  <c r="K2332" i="1"/>
  <c r="H2332" i="1"/>
  <c r="G2332" i="1"/>
  <c r="E2332" i="1"/>
  <c r="J2331" i="1"/>
  <c r="E2331" i="1"/>
  <c r="E2330" i="1"/>
  <c r="J2329" i="1"/>
  <c r="E2329" i="1"/>
  <c r="J2328" i="1"/>
  <c r="I2328" i="1"/>
  <c r="H2328" i="1"/>
  <c r="G2328" i="1"/>
  <c r="F2328" i="1"/>
  <c r="J2327" i="1"/>
  <c r="I2327" i="1"/>
  <c r="H2327" i="1"/>
  <c r="G2327" i="1"/>
  <c r="F2327" i="1"/>
  <c r="J2326" i="1"/>
  <c r="I2333" i="1" s="1"/>
  <c r="I2326" i="1"/>
  <c r="H2326" i="1"/>
  <c r="G2326" i="1"/>
  <c r="F2326" i="1"/>
  <c r="AG2325" i="1"/>
  <c r="AF2325" i="1"/>
  <c r="AE2325" i="1"/>
  <c r="J2330" i="1" s="1"/>
  <c r="AD2325" i="1"/>
  <c r="AC2325" i="1"/>
  <c r="AB2325" i="1"/>
  <c r="E2325" i="1"/>
  <c r="D2325" i="1"/>
  <c r="C2325" i="1"/>
  <c r="B2325" i="1"/>
  <c r="K2323" i="1"/>
  <c r="H2323" i="1"/>
  <c r="G2323" i="1"/>
  <c r="E2323" i="1"/>
  <c r="E2322" i="1"/>
  <c r="J2321" i="1"/>
  <c r="E2321" i="1"/>
  <c r="E2320" i="1"/>
  <c r="J2319" i="1"/>
  <c r="I2319" i="1"/>
  <c r="H2319" i="1"/>
  <c r="G2319" i="1"/>
  <c r="F2319" i="1"/>
  <c r="J2318" i="1"/>
  <c r="I2318" i="1"/>
  <c r="H2318" i="1"/>
  <c r="G2318" i="1"/>
  <c r="F2318" i="1"/>
  <c r="J2317" i="1"/>
  <c r="I2324" i="1" s="1"/>
  <c r="K2324" i="1" s="1"/>
  <c r="I2317" i="1"/>
  <c r="H2317" i="1"/>
  <c r="G2317" i="1"/>
  <c r="F2317" i="1"/>
  <c r="AG2316" i="1"/>
  <c r="J2322" i="1" s="1"/>
  <c r="AF2316" i="1"/>
  <c r="AE2316" i="1"/>
  <c r="AD2316" i="1"/>
  <c r="AC2316" i="1"/>
  <c r="J2320" i="1" s="1"/>
  <c r="AB2316" i="1"/>
  <c r="E2316" i="1"/>
  <c r="D2316" i="1"/>
  <c r="C2316" i="1"/>
  <c r="B2316" i="1"/>
  <c r="K2314" i="1"/>
  <c r="H2314" i="1"/>
  <c r="G2314" i="1"/>
  <c r="E2314" i="1"/>
  <c r="J2313" i="1"/>
  <c r="E2313" i="1"/>
  <c r="E2312" i="1"/>
  <c r="J2311" i="1"/>
  <c r="E2311" i="1"/>
  <c r="J2310" i="1"/>
  <c r="I2310" i="1"/>
  <c r="H2310" i="1"/>
  <c r="G2310" i="1"/>
  <c r="F2310" i="1"/>
  <c r="J2309" i="1"/>
  <c r="I2309" i="1"/>
  <c r="H2309" i="1"/>
  <c r="G2309" i="1"/>
  <c r="F2309" i="1"/>
  <c r="J2308" i="1"/>
  <c r="I2315" i="1" s="1"/>
  <c r="I2308" i="1"/>
  <c r="H2308" i="1"/>
  <c r="G2308" i="1"/>
  <c r="F2308" i="1"/>
  <c r="AG2307" i="1"/>
  <c r="AF2307" i="1"/>
  <c r="AE2307" i="1"/>
  <c r="J2312" i="1" s="1"/>
  <c r="AD2307" i="1"/>
  <c r="AC2307" i="1"/>
  <c r="AB2307" i="1"/>
  <c r="E2307" i="1"/>
  <c r="D2307" i="1"/>
  <c r="C2307" i="1"/>
  <c r="B2307" i="1"/>
  <c r="K2305" i="1"/>
  <c r="H2305" i="1"/>
  <c r="G2305" i="1"/>
  <c r="E2305" i="1"/>
  <c r="E2304" i="1"/>
  <c r="J2303" i="1"/>
  <c r="E2303" i="1"/>
  <c r="E2302" i="1"/>
  <c r="J2301" i="1"/>
  <c r="I2301" i="1"/>
  <c r="H2301" i="1"/>
  <c r="G2301" i="1"/>
  <c r="F2301" i="1"/>
  <c r="J2300" i="1"/>
  <c r="I2300" i="1"/>
  <c r="H2300" i="1"/>
  <c r="G2300" i="1"/>
  <c r="F2300" i="1"/>
  <c r="J2299" i="1"/>
  <c r="I2299" i="1"/>
  <c r="H2299" i="1"/>
  <c r="G2299" i="1"/>
  <c r="F2299" i="1"/>
  <c r="AG2298" i="1"/>
  <c r="J2304" i="1" s="1"/>
  <c r="AF2298" i="1"/>
  <c r="AE2298" i="1"/>
  <c r="AD2298" i="1"/>
  <c r="AC2298" i="1"/>
  <c r="J2302" i="1" s="1"/>
  <c r="AB2298" i="1"/>
  <c r="E2298" i="1"/>
  <c r="D2298" i="1"/>
  <c r="C2298" i="1"/>
  <c r="B2298" i="1"/>
  <c r="K2296" i="1"/>
  <c r="H2296" i="1"/>
  <c r="G2296" i="1"/>
  <c r="E2296" i="1"/>
  <c r="J2295" i="1"/>
  <c r="E2295" i="1"/>
  <c r="E2294" i="1"/>
  <c r="J2293" i="1"/>
  <c r="E2293" i="1"/>
  <c r="J2292" i="1"/>
  <c r="I2292" i="1"/>
  <c r="H2292" i="1"/>
  <c r="G2292" i="1"/>
  <c r="F2292" i="1"/>
  <c r="J2291" i="1"/>
  <c r="I2291" i="1"/>
  <c r="H2291" i="1"/>
  <c r="G2291" i="1"/>
  <c r="F2291" i="1"/>
  <c r="J2290" i="1"/>
  <c r="I2297" i="1" s="1"/>
  <c r="I2290" i="1"/>
  <c r="H2290" i="1"/>
  <c r="G2290" i="1"/>
  <c r="F2290" i="1"/>
  <c r="AG2289" i="1"/>
  <c r="AF2289" i="1"/>
  <c r="AE2289" i="1"/>
  <c r="J2294" i="1" s="1"/>
  <c r="AD2289" i="1"/>
  <c r="AC2289" i="1"/>
  <c r="AB2289" i="1"/>
  <c r="E2289" i="1"/>
  <c r="D2289" i="1"/>
  <c r="C2289" i="1"/>
  <c r="B2289" i="1"/>
  <c r="A2288" i="1"/>
  <c r="A2285" i="1"/>
  <c r="A2282" i="1"/>
  <c r="K2279" i="1"/>
  <c r="H2279" i="1"/>
  <c r="G2279" i="1"/>
  <c r="E2279" i="1"/>
  <c r="E2278" i="1"/>
  <c r="E2277" i="1"/>
  <c r="J2276" i="1"/>
  <c r="I2276" i="1"/>
  <c r="H2276" i="1"/>
  <c r="G2276" i="1"/>
  <c r="F2276" i="1"/>
  <c r="C2275" i="1"/>
  <c r="AG2274" i="1"/>
  <c r="AF2274" i="1"/>
  <c r="AE2274" i="1"/>
  <c r="J2278" i="1" s="1"/>
  <c r="AD2274" i="1"/>
  <c r="AC2274" i="1"/>
  <c r="J2277" i="1" s="1"/>
  <c r="I2280" i="1" s="1"/>
  <c r="AB2274" i="1"/>
  <c r="E2274" i="1"/>
  <c r="D2274" i="1"/>
  <c r="C2274" i="1"/>
  <c r="B2274" i="1"/>
  <c r="K2272" i="1"/>
  <c r="H2272" i="1"/>
  <c r="G2272" i="1"/>
  <c r="E2272" i="1"/>
  <c r="J2271" i="1"/>
  <c r="E2271" i="1"/>
  <c r="E2270" i="1"/>
  <c r="J2269" i="1"/>
  <c r="I2273" i="1" s="1"/>
  <c r="I2269" i="1"/>
  <c r="H2269" i="1"/>
  <c r="G2269" i="1"/>
  <c r="F2269" i="1"/>
  <c r="C2268" i="1"/>
  <c r="AG2267" i="1"/>
  <c r="AF2267" i="1"/>
  <c r="AE2267" i="1"/>
  <c r="AD2267" i="1"/>
  <c r="AC2267" i="1"/>
  <c r="J2270" i="1" s="1"/>
  <c r="AB2267" i="1"/>
  <c r="E2267" i="1"/>
  <c r="D2267" i="1"/>
  <c r="C2267" i="1"/>
  <c r="B2267" i="1"/>
  <c r="J2265" i="1"/>
  <c r="I2266" i="1" s="1"/>
  <c r="K2266" i="1" s="1"/>
  <c r="I2265" i="1"/>
  <c r="H2265" i="1"/>
  <c r="G2265" i="1"/>
  <c r="F2265" i="1"/>
  <c r="AG2264" i="1"/>
  <c r="AF2264" i="1"/>
  <c r="AE2264" i="1"/>
  <c r="AD2264" i="1"/>
  <c r="AC2264" i="1"/>
  <c r="AB2264" i="1"/>
  <c r="E2264" i="1"/>
  <c r="D2264" i="1"/>
  <c r="C2264" i="1"/>
  <c r="B2264" i="1"/>
  <c r="A2263" i="1"/>
  <c r="A2260" i="1"/>
  <c r="K2257" i="1"/>
  <c r="H2257" i="1"/>
  <c r="G2257" i="1"/>
  <c r="E2257" i="1"/>
  <c r="E2256" i="1"/>
  <c r="J2255" i="1"/>
  <c r="I2258" i="1" s="1"/>
  <c r="E2255" i="1"/>
  <c r="J2254" i="1"/>
  <c r="I2254" i="1"/>
  <c r="H2254" i="1"/>
  <c r="G2254" i="1"/>
  <c r="F2254" i="1"/>
  <c r="J2253" i="1"/>
  <c r="I2253" i="1"/>
  <c r="H2253" i="1"/>
  <c r="G2253" i="1"/>
  <c r="F2253" i="1"/>
  <c r="C2252" i="1"/>
  <c r="AG2251" i="1"/>
  <c r="AF2251" i="1"/>
  <c r="AE2251" i="1"/>
  <c r="J2256" i="1" s="1"/>
  <c r="AD2251" i="1"/>
  <c r="AC2251" i="1"/>
  <c r="AB2251" i="1"/>
  <c r="E2251" i="1"/>
  <c r="D2251" i="1"/>
  <c r="C2251" i="1"/>
  <c r="B2251" i="1"/>
  <c r="I2250" i="1"/>
  <c r="AA2250" i="1" s="1"/>
  <c r="AG2249" i="1"/>
  <c r="AF2249" i="1"/>
  <c r="AE2249" i="1"/>
  <c r="AD2249" i="1"/>
  <c r="AC2249" i="1"/>
  <c r="AB2249" i="1"/>
  <c r="J2249" i="1"/>
  <c r="I2249" i="1"/>
  <c r="H2249" i="1"/>
  <c r="F2249" i="1"/>
  <c r="E2249" i="1"/>
  <c r="D2249" i="1"/>
  <c r="C2249" i="1"/>
  <c r="B2249" i="1"/>
  <c r="J2248" i="1"/>
  <c r="I2248" i="1"/>
  <c r="H2248" i="1"/>
  <c r="G2248" i="1"/>
  <c r="F2248" i="1"/>
  <c r="AG2247" i="1"/>
  <c r="AF2247" i="1"/>
  <c r="AE2247" i="1"/>
  <c r="AD2247" i="1"/>
  <c r="AC2247" i="1"/>
  <c r="AB2247" i="1"/>
  <c r="E2247" i="1"/>
  <c r="D2247" i="1"/>
  <c r="C2247" i="1"/>
  <c r="B2247" i="1"/>
  <c r="K2245" i="1"/>
  <c r="H2245" i="1"/>
  <c r="G2245" i="1"/>
  <c r="E2245" i="1"/>
  <c r="E2244" i="1"/>
  <c r="E2243" i="1"/>
  <c r="J2242" i="1"/>
  <c r="I2242" i="1"/>
  <c r="H2242" i="1"/>
  <c r="G2242" i="1"/>
  <c r="F2242" i="1"/>
  <c r="C2241" i="1"/>
  <c r="AG2240" i="1"/>
  <c r="AF2240" i="1"/>
  <c r="AE2240" i="1"/>
  <c r="J2244" i="1" s="1"/>
  <c r="AD2240" i="1"/>
  <c r="AC2240" i="1"/>
  <c r="J2243" i="1" s="1"/>
  <c r="I2246" i="1" s="1"/>
  <c r="AB2240" i="1"/>
  <c r="E2240" i="1"/>
  <c r="D2240" i="1"/>
  <c r="C2240" i="1"/>
  <c r="B2240" i="1"/>
  <c r="K2238" i="1"/>
  <c r="H2238" i="1"/>
  <c r="G2238" i="1"/>
  <c r="E2238" i="1"/>
  <c r="J2237" i="1"/>
  <c r="E2237" i="1"/>
  <c r="E2236" i="1"/>
  <c r="J2235" i="1"/>
  <c r="E2235" i="1"/>
  <c r="J2234" i="1"/>
  <c r="I2234" i="1"/>
  <c r="H2234" i="1"/>
  <c r="G2234" i="1"/>
  <c r="F2234" i="1"/>
  <c r="J2233" i="1"/>
  <c r="I2233" i="1"/>
  <c r="H2233" i="1"/>
  <c r="G2233" i="1"/>
  <c r="F2233" i="1"/>
  <c r="J2232" i="1"/>
  <c r="I2239" i="1" s="1"/>
  <c r="I2232" i="1"/>
  <c r="H2232" i="1"/>
  <c r="G2232" i="1"/>
  <c r="F2232" i="1"/>
  <c r="C2231" i="1"/>
  <c r="AG2230" i="1"/>
  <c r="AF2230" i="1"/>
  <c r="AE2230" i="1"/>
  <c r="J2236" i="1" s="1"/>
  <c r="AD2230" i="1"/>
  <c r="AC2230" i="1"/>
  <c r="AB2230" i="1"/>
  <c r="E2230" i="1"/>
  <c r="D2230" i="1"/>
  <c r="C2230" i="1"/>
  <c r="B2230" i="1"/>
  <c r="K2228" i="1"/>
  <c r="H2228" i="1"/>
  <c r="G2228" i="1"/>
  <c r="E2228" i="1"/>
  <c r="J2227" i="1"/>
  <c r="E2227" i="1"/>
  <c r="E2226" i="1"/>
  <c r="J2225" i="1"/>
  <c r="I2225" i="1"/>
  <c r="H2225" i="1"/>
  <c r="G2225" i="1"/>
  <c r="F2225" i="1"/>
  <c r="C2224" i="1"/>
  <c r="AG2223" i="1"/>
  <c r="AF2223" i="1"/>
  <c r="AE2223" i="1"/>
  <c r="AD2223" i="1"/>
  <c r="AC2223" i="1"/>
  <c r="J2226" i="1" s="1"/>
  <c r="AB2223" i="1"/>
  <c r="E2223" i="1"/>
  <c r="D2223" i="1"/>
  <c r="C2223" i="1"/>
  <c r="B2223" i="1"/>
  <c r="K2221" i="1"/>
  <c r="H2221" i="1"/>
  <c r="G2221" i="1"/>
  <c r="E2221" i="1"/>
  <c r="E2220" i="1"/>
  <c r="E2219" i="1"/>
  <c r="J2218" i="1"/>
  <c r="I2218" i="1"/>
  <c r="H2218" i="1"/>
  <c r="G2218" i="1"/>
  <c r="F2218" i="1"/>
  <c r="C2217" i="1"/>
  <c r="AG2216" i="1"/>
  <c r="AF2216" i="1"/>
  <c r="AE2216" i="1"/>
  <c r="J2220" i="1" s="1"/>
  <c r="AD2216" i="1"/>
  <c r="AC2216" i="1"/>
  <c r="J2219" i="1" s="1"/>
  <c r="AB2216" i="1"/>
  <c r="E2216" i="1"/>
  <c r="D2216" i="1"/>
  <c r="C2216" i="1"/>
  <c r="B2216" i="1"/>
  <c r="K2214" i="1"/>
  <c r="H2214" i="1"/>
  <c r="G2214" i="1"/>
  <c r="E2214" i="1"/>
  <c r="E2213" i="1"/>
  <c r="E2212" i="1"/>
  <c r="J2211" i="1"/>
  <c r="I2211" i="1"/>
  <c r="H2211" i="1"/>
  <c r="G2211" i="1"/>
  <c r="F2211" i="1"/>
  <c r="C2210" i="1"/>
  <c r="AG2209" i="1"/>
  <c r="AF2209" i="1"/>
  <c r="AE2209" i="1"/>
  <c r="J2213" i="1" s="1"/>
  <c r="AD2209" i="1"/>
  <c r="AC2209" i="1"/>
  <c r="J2212" i="1" s="1"/>
  <c r="I2215" i="1" s="1"/>
  <c r="AB2209" i="1"/>
  <c r="E2209" i="1"/>
  <c r="D2209" i="1"/>
  <c r="C2209" i="1"/>
  <c r="B2209" i="1"/>
  <c r="K2207" i="1"/>
  <c r="H2207" i="1"/>
  <c r="G2207" i="1"/>
  <c r="E2207" i="1"/>
  <c r="E2206" i="1"/>
  <c r="E2205" i="1"/>
  <c r="J2204" i="1"/>
  <c r="I2204" i="1"/>
  <c r="H2204" i="1"/>
  <c r="G2204" i="1"/>
  <c r="F2204" i="1"/>
  <c r="C2203" i="1"/>
  <c r="AG2202" i="1"/>
  <c r="AF2202" i="1"/>
  <c r="AE2202" i="1"/>
  <c r="J2206" i="1" s="1"/>
  <c r="AD2202" i="1"/>
  <c r="AC2202" i="1"/>
  <c r="J2205" i="1" s="1"/>
  <c r="AB2202" i="1"/>
  <c r="E2202" i="1"/>
  <c r="D2202" i="1"/>
  <c r="C2202" i="1"/>
  <c r="B2202" i="1"/>
  <c r="AA2201" i="1"/>
  <c r="J2200" i="1"/>
  <c r="I2201" i="1" s="1"/>
  <c r="K2201" i="1" s="1"/>
  <c r="I2200" i="1"/>
  <c r="H2200" i="1"/>
  <c r="G2200" i="1"/>
  <c r="F2200" i="1"/>
  <c r="AG2199" i="1"/>
  <c r="AF2199" i="1"/>
  <c r="AE2199" i="1"/>
  <c r="AD2199" i="1"/>
  <c r="AC2199" i="1"/>
  <c r="AB2199" i="1"/>
  <c r="E2199" i="1"/>
  <c r="D2199" i="1"/>
  <c r="C2199" i="1"/>
  <c r="B2199" i="1"/>
  <c r="A2198" i="1"/>
  <c r="A2196" i="1"/>
  <c r="A2193" i="1"/>
  <c r="A2190" i="1"/>
  <c r="K2188" i="1"/>
  <c r="I2188" i="1"/>
  <c r="AA2188" i="1" s="1"/>
  <c r="I2190" i="1" s="1"/>
  <c r="J2187" i="1"/>
  <c r="I2187" i="1"/>
  <c r="H2187" i="1"/>
  <c r="G2187" i="1"/>
  <c r="F2187" i="1"/>
  <c r="AG2186" i="1"/>
  <c r="AF2186" i="1"/>
  <c r="AE2186" i="1"/>
  <c r="AD2186" i="1"/>
  <c r="AC2186" i="1"/>
  <c r="AB2186" i="1"/>
  <c r="E2186" i="1"/>
  <c r="D2186" i="1"/>
  <c r="C2186" i="1"/>
  <c r="B2186" i="1"/>
  <c r="A2185" i="1"/>
  <c r="A2182" i="1"/>
  <c r="K2179" i="1"/>
  <c r="H2179" i="1"/>
  <c r="G2179" i="1"/>
  <c r="E2179" i="1"/>
  <c r="E2178" i="1"/>
  <c r="E2177" i="1"/>
  <c r="J2176" i="1"/>
  <c r="I2176" i="1"/>
  <c r="H2176" i="1"/>
  <c r="G2176" i="1"/>
  <c r="F2176" i="1"/>
  <c r="J2175" i="1"/>
  <c r="I2175" i="1"/>
  <c r="H2175" i="1"/>
  <c r="G2175" i="1"/>
  <c r="F2175" i="1"/>
  <c r="C2174" i="1"/>
  <c r="AG2173" i="1"/>
  <c r="AF2173" i="1"/>
  <c r="AE2173" i="1"/>
  <c r="J2178" i="1" s="1"/>
  <c r="AD2173" i="1"/>
  <c r="AC2173" i="1"/>
  <c r="J2177" i="1" s="1"/>
  <c r="AB2173" i="1"/>
  <c r="E2173" i="1"/>
  <c r="D2173" i="1"/>
  <c r="C2173" i="1"/>
  <c r="B2173" i="1"/>
  <c r="K2171" i="1"/>
  <c r="H2171" i="1"/>
  <c r="G2171" i="1"/>
  <c r="E2171" i="1"/>
  <c r="E2170" i="1"/>
  <c r="E2169" i="1"/>
  <c r="J2168" i="1"/>
  <c r="I2168" i="1"/>
  <c r="H2168" i="1"/>
  <c r="G2168" i="1"/>
  <c r="F2168" i="1"/>
  <c r="C2167" i="1"/>
  <c r="AG2166" i="1"/>
  <c r="AF2166" i="1"/>
  <c r="AE2166" i="1"/>
  <c r="J2170" i="1" s="1"/>
  <c r="AD2166" i="1"/>
  <c r="AC2166" i="1"/>
  <c r="J2169" i="1" s="1"/>
  <c r="AB2166" i="1"/>
  <c r="E2166" i="1"/>
  <c r="D2166" i="1"/>
  <c r="C2166" i="1"/>
  <c r="B2166" i="1"/>
  <c r="AA2165" i="1"/>
  <c r="K2165" i="1"/>
  <c r="I2165" i="1"/>
  <c r="J2164" i="1"/>
  <c r="I2164" i="1"/>
  <c r="H2164" i="1"/>
  <c r="G2164" i="1"/>
  <c r="F2164" i="1"/>
  <c r="AG2163" i="1"/>
  <c r="AF2163" i="1"/>
  <c r="AE2163" i="1"/>
  <c r="AD2163" i="1"/>
  <c r="AC2163" i="1"/>
  <c r="AB2163" i="1"/>
  <c r="E2163" i="1"/>
  <c r="D2163" i="1"/>
  <c r="C2163" i="1"/>
  <c r="B2163" i="1"/>
  <c r="A2162" i="1"/>
  <c r="A2160" i="1"/>
  <c r="AQ2157" i="1"/>
  <c r="A2157" i="1"/>
  <c r="A2154" i="1"/>
  <c r="K2151" i="1"/>
  <c r="H2151" i="1"/>
  <c r="G2151" i="1"/>
  <c r="E2151" i="1"/>
  <c r="E2150" i="1"/>
  <c r="E2149" i="1"/>
  <c r="J2148" i="1"/>
  <c r="I2148" i="1"/>
  <c r="H2148" i="1"/>
  <c r="G2148" i="1"/>
  <c r="F2148" i="1"/>
  <c r="J2147" i="1"/>
  <c r="I2147" i="1"/>
  <c r="H2147" i="1"/>
  <c r="G2147" i="1"/>
  <c r="F2147" i="1"/>
  <c r="C2146" i="1"/>
  <c r="AG2145" i="1"/>
  <c r="AF2145" i="1"/>
  <c r="AE2145" i="1"/>
  <c r="J2150" i="1" s="1"/>
  <c r="AD2145" i="1"/>
  <c r="AC2145" i="1"/>
  <c r="J2149" i="1" s="1"/>
  <c r="I2152" i="1" s="1"/>
  <c r="AB2145" i="1"/>
  <c r="E2145" i="1"/>
  <c r="D2145" i="1"/>
  <c r="C2145" i="1"/>
  <c r="B2145" i="1"/>
  <c r="AG2143" i="1"/>
  <c r="AF2143" i="1"/>
  <c r="AE2143" i="1"/>
  <c r="AD2143" i="1"/>
  <c r="AC2143" i="1"/>
  <c r="AB2143" i="1"/>
  <c r="J2143" i="1"/>
  <c r="I2143" i="1"/>
  <c r="H2143" i="1"/>
  <c r="F2143" i="1"/>
  <c r="E2143" i="1"/>
  <c r="D2143" i="1"/>
  <c r="C2143" i="1"/>
  <c r="B2143" i="1"/>
  <c r="J2142" i="1"/>
  <c r="I2144" i="1" s="1"/>
  <c r="I2142" i="1"/>
  <c r="H2142" i="1"/>
  <c r="G2142" i="1"/>
  <c r="F2142" i="1"/>
  <c r="AG2141" i="1"/>
  <c r="AF2141" i="1"/>
  <c r="AE2141" i="1"/>
  <c r="AD2141" i="1"/>
  <c r="AC2141" i="1"/>
  <c r="AB2141" i="1"/>
  <c r="E2141" i="1"/>
  <c r="D2141" i="1"/>
  <c r="C2141" i="1"/>
  <c r="B2141" i="1"/>
  <c r="K2139" i="1"/>
  <c r="H2139" i="1"/>
  <c r="G2139" i="1"/>
  <c r="E2139" i="1"/>
  <c r="E2138" i="1"/>
  <c r="E2137" i="1"/>
  <c r="J2136" i="1"/>
  <c r="I2136" i="1"/>
  <c r="H2136" i="1"/>
  <c r="G2136" i="1"/>
  <c r="F2136" i="1"/>
  <c r="C2135" i="1"/>
  <c r="AG2134" i="1"/>
  <c r="AF2134" i="1"/>
  <c r="AE2134" i="1"/>
  <c r="J2138" i="1" s="1"/>
  <c r="AD2134" i="1"/>
  <c r="AC2134" i="1"/>
  <c r="J2137" i="1" s="1"/>
  <c r="I2140" i="1" s="1"/>
  <c r="AB2134" i="1"/>
  <c r="E2134" i="1"/>
  <c r="D2134" i="1"/>
  <c r="C2134" i="1"/>
  <c r="B2134" i="1"/>
  <c r="K2132" i="1"/>
  <c r="H2132" i="1"/>
  <c r="G2132" i="1"/>
  <c r="E2132" i="1"/>
  <c r="J2131" i="1"/>
  <c r="E2131" i="1"/>
  <c r="E2130" i="1"/>
  <c r="J2129" i="1"/>
  <c r="E2129" i="1"/>
  <c r="J2128" i="1"/>
  <c r="I2128" i="1"/>
  <c r="H2128" i="1"/>
  <c r="G2128" i="1"/>
  <c r="F2128" i="1"/>
  <c r="J2127" i="1"/>
  <c r="I2127" i="1"/>
  <c r="H2127" i="1"/>
  <c r="G2127" i="1"/>
  <c r="F2127" i="1"/>
  <c r="J2126" i="1"/>
  <c r="I2133" i="1" s="1"/>
  <c r="I2126" i="1"/>
  <c r="H2126" i="1"/>
  <c r="G2126" i="1"/>
  <c r="F2126" i="1"/>
  <c r="C2125" i="1"/>
  <c r="AG2124" i="1"/>
  <c r="AF2124" i="1"/>
  <c r="AE2124" i="1"/>
  <c r="J2130" i="1" s="1"/>
  <c r="AD2124" i="1"/>
  <c r="AC2124" i="1"/>
  <c r="AB2124" i="1"/>
  <c r="E2124" i="1"/>
  <c r="D2124" i="1"/>
  <c r="C2124" i="1"/>
  <c r="B2124" i="1"/>
  <c r="K2122" i="1"/>
  <c r="H2122" i="1"/>
  <c r="G2122" i="1"/>
  <c r="E2122" i="1"/>
  <c r="E2121" i="1"/>
  <c r="E2120" i="1"/>
  <c r="J2119" i="1"/>
  <c r="I2119" i="1"/>
  <c r="H2119" i="1"/>
  <c r="G2119" i="1"/>
  <c r="F2119" i="1"/>
  <c r="C2118" i="1"/>
  <c r="AG2117" i="1"/>
  <c r="AF2117" i="1"/>
  <c r="AE2117" i="1"/>
  <c r="J2121" i="1" s="1"/>
  <c r="AD2117" i="1"/>
  <c r="AC2117" i="1"/>
  <c r="J2120" i="1" s="1"/>
  <c r="AB2117" i="1"/>
  <c r="E2117" i="1"/>
  <c r="D2117" i="1"/>
  <c r="C2117" i="1"/>
  <c r="B2117" i="1"/>
  <c r="K2115" i="1"/>
  <c r="H2115" i="1"/>
  <c r="G2115" i="1"/>
  <c r="E2115" i="1"/>
  <c r="E2114" i="1"/>
  <c r="E2113" i="1"/>
  <c r="J2112" i="1"/>
  <c r="I2112" i="1"/>
  <c r="H2112" i="1"/>
  <c r="G2112" i="1"/>
  <c r="F2112" i="1"/>
  <c r="C2111" i="1"/>
  <c r="AG2110" i="1"/>
  <c r="AF2110" i="1"/>
  <c r="AE2110" i="1"/>
  <c r="J2114" i="1" s="1"/>
  <c r="AD2110" i="1"/>
  <c r="AC2110" i="1"/>
  <c r="J2113" i="1" s="1"/>
  <c r="AB2110" i="1"/>
  <c r="E2110" i="1"/>
  <c r="D2110" i="1"/>
  <c r="C2110" i="1"/>
  <c r="B2110" i="1"/>
  <c r="K2108" i="1"/>
  <c r="H2108" i="1"/>
  <c r="G2108" i="1"/>
  <c r="E2108" i="1"/>
  <c r="E2107" i="1"/>
  <c r="E2106" i="1"/>
  <c r="J2105" i="1"/>
  <c r="I2105" i="1"/>
  <c r="H2105" i="1"/>
  <c r="G2105" i="1"/>
  <c r="F2105" i="1"/>
  <c r="C2104" i="1"/>
  <c r="AG2103" i="1"/>
  <c r="AF2103" i="1"/>
  <c r="AE2103" i="1"/>
  <c r="J2107" i="1" s="1"/>
  <c r="AD2103" i="1"/>
  <c r="AC2103" i="1"/>
  <c r="J2106" i="1" s="1"/>
  <c r="I2109" i="1" s="1"/>
  <c r="AB2103" i="1"/>
  <c r="E2103" i="1"/>
  <c r="D2103" i="1"/>
  <c r="C2103" i="1"/>
  <c r="B2103" i="1"/>
  <c r="K2101" i="1"/>
  <c r="H2101" i="1"/>
  <c r="G2101" i="1"/>
  <c r="E2101" i="1"/>
  <c r="E2100" i="1"/>
  <c r="E2099" i="1"/>
  <c r="J2098" i="1"/>
  <c r="I2098" i="1"/>
  <c r="H2098" i="1"/>
  <c r="G2098" i="1"/>
  <c r="F2098" i="1"/>
  <c r="C2097" i="1"/>
  <c r="AG2096" i="1"/>
  <c r="AF2096" i="1"/>
  <c r="AE2096" i="1"/>
  <c r="J2100" i="1" s="1"/>
  <c r="AD2096" i="1"/>
  <c r="AC2096" i="1"/>
  <c r="J2099" i="1" s="1"/>
  <c r="AB2096" i="1"/>
  <c r="E2096" i="1"/>
  <c r="D2096" i="1"/>
  <c r="C2096" i="1"/>
  <c r="B2096" i="1"/>
  <c r="AA2095" i="1"/>
  <c r="J2094" i="1"/>
  <c r="I2095" i="1" s="1"/>
  <c r="K2095" i="1" s="1"/>
  <c r="I2094" i="1"/>
  <c r="H2094" i="1"/>
  <c r="G2094" i="1"/>
  <c r="F2094" i="1"/>
  <c r="AG2093" i="1"/>
  <c r="AF2093" i="1"/>
  <c r="AE2093" i="1"/>
  <c r="AD2093" i="1"/>
  <c r="AC2093" i="1"/>
  <c r="AB2093" i="1"/>
  <c r="E2093" i="1"/>
  <c r="D2093" i="1"/>
  <c r="C2093" i="1"/>
  <c r="B2093" i="1"/>
  <c r="A2092" i="1"/>
  <c r="A2090" i="1"/>
  <c r="A2087" i="1"/>
  <c r="A2084" i="1"/>
  <c r="K2081" i="1"/>
  <c r="H2081" i="1"/>
  <c r="G2081" i="1"/>
  <c r="E2081" i="1"/>
  <c r="E2080" i="1"/>
  <c r="E2079" i="1"/>
  <c r="J2078" i="1"/>
  <c r="I2078" i="1"/>
  <c r="H2078" i="1"/>
  <c r="G2078" i="1"/>
  <c r="F2078" i="1"/>
  <c r="C2077" i="1"/>
  <c r="AG2076" i="1"/>
  <c r="AF2076" i="1"/>
  <c r="AE2076" i="1"/>
  <c r="J2080" i="1" s="1"/>
  <c r="AD2076" i="1"/>
  <c r="AC2076" i="1"/>
  <c r="J2079" i="1" s="1"/>
  <c r="I2082" i="1" s="1"/>
  <c r="AB2076" i="1"/>
  <c r="E2076" i="1"/>
  <c r="D2076" i="1"/>
  <c r="C2076" i="1"/>
  <c r="B2076" i="1"/>
  <c r="K2074" i="1"/>
  <c r="H2074" i="1"/>
  <c r="G2074" i="1"/>
  <c r="E2074" i="1"/>
  <c r="E2073" i="1"/>
  <c r="E2072" i="1"/>
  <c r="J2071" i="1"/>
  <c r="I2071" i="1"/>
  <c r="H2071" i="1"/>
  <c r="G2071" i="1"/>
  <c r="F2071" i="1"/>
  <c r="C2070" i="1"/>
  <c r="AG2069" i="1"/>
  <c r="AF2069" i="1"/>
  <c r="AE2069" i="1"/>
  <c r="J2073" i="1" s="1"/>
  <c r="AD2069" i="1"/>
  <c r="AC2069" i="1"/>
  <c r="J2072" i="1" s="1"/>
  <c r="AB2069" i="1"/>
  <c r="E2069" i="1"/>
  <c r="D2069" i="1"/>
  <c r="C2069" i="1"/>
  <c r="B2069" i="1"/>
  <c r="K2067" i="1"/>
  <c r="H2067" i="1"/>
  <c r="G2067" i="1"/>
  <c r="E2067" i="1"/>
  <c r="E2066" i="1"/>
  <c r="E2065" i="1"/>
  <c r="J2064" i="1"/>
  <c r="I2064" i="1"/>
  <c r="H2064" i="1"/>
  <c r="G2064" i="1"/>
  <c r="F2064" i="1"/>
  <c r="C2063" i="1"/>
  <c r="AG2062" i="1"/>
  <c r="AF2062" i="1"/>
  <c r="AE2062" i="1"/>
  <c r="J2066" i="1" s="1"/>
  <c r="AD2062" i="1"/>
  <c r="AC2062" i="1"/>
  <c r="J2065" i="1" s="1"/>
  <c r="AB2062" i="1"/>
  <c r="E2062" i="1"/>
  <c r="D2062" i="1"/>
  <c r="C2062" i="1"/>
  <c r="B2062" i="1"/>
  <c r="K2060" i="1"/>
  <c r="H2060" i="1"/>
  <c r="G2060" i="1"/>
  <c r="E2060" i="1"/>
  <c r="E2059" i="1"/>
  <c r="E2058" i="1"/>
  <c r="J2057" i="1"/>
  <c r="I2057" i="1"/>
  <c r="H2057" i="1"/>
  <c r="G2057" i="1"/>
  <c r="F2057" i="1"/>
  <c r="C2056" i="1"/>
  <c r="AG2055" i="1"/>
  <c r="AF2055" i="1"/>
  <c r="AE2055" i="1"/>
  <c r="J2059" i="1" s="1"/>
  <c r="AD2055" i="1"/>
  <c r="AC2055" i="1"/>
  <c r="J2058" i="1" s="1"/>
  <c r="AB2055" i="1"/>
  <c r="E2055" i="1"/>
  <c r="D2055" i="1"/>
  <c r="C2055" i="1"/>
  <c r="B2055" i="1"/>
  <c r="K2053" i="1"/>
  <c r="H2053" i="1"/>
  <c r="G2053" i="1"/>
  <c r="E2053" i="1"/>
  <c r="E2052" i="1"/>
  <c r="E2051" i="1"/>
  <c r="J2050" i="1"/>
  <c r="I2050" i="1"/>
  <c r="H2050" i="1"/>
  <c r="G2050" i="1"/>
  <c r="F2050" i="1"/>
  <c r="C2049" i="1"/>
  <c r="AG2048" i="1"/>
  <c r="AF2048" i="1"/>
  <c r="AE2048" i="1"/>
  <c r="J2052" i="1" s="1"/>
  <c r="AD2048" i="1"/>
  <c r="AC2048" i="1"/>
  <c r="J2051" i="1" s="1"/>
  <c r="I2054" i="1" s="1"/>
  <c r="AB2048" i="1"/>
  <c r="E2048" i="1"/>
  <c r="D2048" i="1"/>
  <c r="C2048" i="1"/>
  <c r="B2048" i="1"/>
  <c r="K2046" i="1"/>
  <c r="H2046" i="1"/>
  <c r="G2046" i="1"/>
  <c r="E2046" i="1"/>
  <c r="E2045" i="1"/>
  <c r="E2044" i="1"/>
  <c r="J2043" i="1"/>
  <c r="I2043" i="1"/>
  <c r="H2043" i="1"/>
  <c r="G2043" i="1"/>
  <c r="F2043" i="1"/>
  <c r="C2042" i="1"/>
  <c r="AG2041" i="1"/>
  <c r="AF2041" i="1"/>
  <c r="AE2041" i="1"/>
  <c r="J2045" i="1" s="1"/>
  <c r="AD2041" i="1"/>
  <c r="AC2041" i="1"/>
  <c r="J2044" i="1" s="1"/>
  <c r="AB2041" i="1"/>
  <c r="E2041" i="1"/>
  <c r="D2041" i="1"/>
  <c r="C2041" i="1"/>
  <c r="B2041" i="1"/>
  <c r="K2039" i="1"/>
  <c r="H2039" i="1"/>
  <c r="G2039" i="1"/>
  <c r="E2039" i="1"/>
  <c r="E2038" i="1"/>
  <c r="E2037" i="1"/>
  <c r="J2036" i="1"/>
  <c r="I2036" i="1"/>
  <c r="H2036" i="1"/>
  <c r="G2036" i="1"/>
  <c r="F2036" i="1"/>
  <c r="C2035" i="1"/>
  <c r="AG2034" i="1"/>
  <c r="AF2034" i="1"/>
  <c r="AE2034" i="1"/>
  <c r="J2038" i="1" s="1"/>
  <c r="AD2034" i="1"/>
  <c r="AC2034" i="1"/>
  <c r="J2037" i="1" s="1"/>
  <c r="AB2034" i="1"/>
  <c r="E2034" i="1"/>
  <c r="D2034" i="1"/>
  <c r="C2034" i="1"/>
  <c r="B2034" i="1"/>
  <c r="K2032" i="1"/>
  <c r="H2032" i="1"/>
  <c r="G2032" i="1"/>
  <c r="E2032" i="1"/>
  <c r="E2031" i="1"/>
  <c r="E2030" i="1"/>
  <c r="J2029" i="1"/>
  <c r="I2029" i="1"/>
  <c r="H2029" i="1"/>
  <c r="G2029" i="1"/>
  <c r="F2029" i="1"/>
  <c r="C2028" i="1"/>
  <c r="AG2027" i="1"/>
  <c r="AF2027" i="1"/>
  <c r="AE2027" i="1"/>
  <c r="J2031" i="1" s="1"/>
  <c r="AD2027" i="1"/>
  <c r="AC2027" i="1"/>
  <c r="J2030" i="1" s="1"/>
  <c r="AB2027" i="1"/>
  <c r="E2027" i="1"/>
  <c r="D2027" i="1"/>
  <c r="C2027" i="1"/>
  <c r="B2027" i="1"/>
  <c r="K2025" i="1"/>
  <c r="H2025" i="1"/>
  <c r="G2025" i="1"/>
  <c r="E2025" i="1"/>
  <c r="E2024" i="1"/>
  <c r="E2023" i="1"/>
  <c r="J2022" i="1"/>
  <c r="I2022" i="1"/>
  <c r="H2022" i="1"/>
  <c r="G2022" i="1"/>
  <c r="F2022" i="1"/>
  <c r="C2021" i="1"/>
  <c r="AG2020" i="1"/>
  <c r="AF2020" i="1"/>
  <c r="AE2020" i="1"/>
  <c r="J2024" i="1" s="1"/>
  <c r="AD2020" i="1"/>
  <c r="AC2020" i="1"/>
  <c r="J2023" i="1" s="1"/>
  <c r="I2026" i="1" s="1"/>
  <c r="AB2020" i="1"/>
  <c r="E2020" i="1"/>
  <c r="D2020" i="1"/>
  <c r="C2020" i="1"/>
  <c r="B2020" i="1"/>
  <c r="K2018" i="1"/>
  <c r="H2018" i="1"/>
  <c r="G2018" i="1"/>
  <c r="E2018" i="1"/>
  <c r="E2017" i="1"/>
  <c r="E2016" i="1"/>
  <c r="J2015" i="1"/>
  <c r="I2015" i="1"/>
  <c r="H2015" i="1"/>
  <c r="G2015" i="1"/>
  <c r="F2015" i="1"/>
  <c r="C2014" i="1"/>
  <c r="AG2013" i="1"/>
  <c r="AF2013" i="1"/>
  <c r="AE2013" i="1"/>
  <c r="J2017" i="1" s="1"/>
  <c r="AD2013" i="1"/>
  <c r="AC2013" i="1"/>
  <c r="J2016" i="1" s="1"/>
  <c r="AB2013" i="1"/>
  <c r="E2013" i="1"/>
  <c r="D2013" i="1"/>
  <c r="C2013" i="1"/>
  <c r="B2013" i="1"/>
  <c r="K2011" i="1"/>
  <c r="H2011" i="1"/>
  <c r="G2011" i="1"/>
  <c r="E2011" i="1"/>
  <c r="E2010" i="1"/>
  <c r="E2009" i="1"/>
  <c r="J2008" i="1"/>
  <c r="I2008" i="1"/>
  <c r="H2008" i="1"/>
  <c r="G2008" i="1"/>
  <c r="F2008" i="1"/>
  <c r="C2007" i="1"/>
  <c r="AG2006" i="1"/>
  <c r="AF2006" i="1"/>
  <c r="AE2006" i="1"/>
  <c r="J2010" i="1" s="1"/>
  <c r="AD2006" i="1"/>
  <c r="AC2006" i="1"/>
  <c r="J2009" i="1" s="1"/>
  <c r="AB2006" i="1"/>
  <c r="E2006" i="1"/>
  <c r="D2006" i="1"/>
  <c r="C2006" i="1"/>
  <c r="B2006" i="1"/>
  <c r="K2004" i="1"/>
  <c r="H2004" i="1"/>
  <c r="G2004" i="1"/>
  <c r="E2004" i="1"/>
  <c r="E2003" i="1"/>
  <c r="E2002" i="1"/>
  <c r="J2001" i="1"/>
  <c r="I2001" i="1"/>
  <c r="H2001" i="1"/>
  <c r="G2001" i="1"/>
  <c r="F2001" i="1"/>
  <c r="C2000" i="1"/>
  <c r="AG1999" i="1"/>
  <c r="AF1999" i="1"/>
  <c r="AE1999" i="1"/>
  <c r="J2003" i="1" s="1"/>
  <c r="AD1999" i="1"/>
  <c r="AC1999" i="1"/>
  <c r="J2002" i="1" s="1"/>
  <c r="AB1999" i="1"/>
  <c r="E1999" i="1"/>
  <c r="D1999" i="1"/>
  <c r="C1999" i="1"/>
  <c r="B1999" i="1"/>
  <c r="K1997" i="1"/>
  <c r="H1997" i="1"/>
  <c r="G1997" i="1"/>
  <c r="E1997" i="1"/>
  <c r="E1996" i="1"/>
  <c r="E1995" i="1"/>
  <c r="J1994" i="1"/>
  <c r="I1994" i="1"/>
  <c r="H1994" i="1"/>
  <c r="G1994" i="1"/>
  <c r="F1994" i="1"/>
  <c r="C1993" i="1"/>
  <c r="AG1992" i="1"/>
  <c r="AF1992" i="1"/>
  <c r="AE1992" i="1"/>
  <c r="J1996" i="1" s="1"/>
  <c r="AD1992" i="1"/>
  <c r="AC1992" i="1"/>
  <c r="J1995" i="1" s="1"/>
  <c r="I1998" i="1" s="1"/>
  <c r="AB1992" i="1"/>
  <c r="E1992" i="1"/>
  <c r="D1992" i="1"/>
  <c r="C1992" i="1"/>
  <c r="B1992" i="1"/>
  <c r="K1990" i="1"/>
  <c r="H1990" i="1"/>
  <c r="G1990" i="1"/>
  <c r="E1990" i="1"/>
  <c r="E1989" i="1"/>
  <c r="E1988" i="1"/>
  <c r="J1987" i="1"/>
  <c r="I1987" i="1"/>
  <c r="H1987" i="1"/>
  <c r="G1987" i="1"/>
  <c r="F1987" i="1"/>
  <c r="C1986" i="1"/>
  <c r="AG1985" i="1"/>
  <c r="AF1985" i="1"/>
  <c r="AE1985" i="1"/>
  <c r="J1989" i="1" s="1"/>
  <c r="AD1985" i="1"/>
  <c r="AC1985" i="1"/>
  <c r="J1988" i="1" s="1"/>
  <c r="AB1985" i="1"/>
  <c r="E1985" i="1"/>
  <c r="D1985" i="1"/>
  <c r="C1985" i="1"/>
  <c r="B1985" i="1"/>
  <c r="A1984" i="1"/>
  <c r="A1981" i="1"/>
  <c r="K1978" i="1"/>
  <c r="H1978" i="1"/>
  <c r="G1978" i="1"/>
  <c r="E1978" i="1"/>
  <c r="E1977" i="1"/>
  <c r="E1976" i="1"/>
  <c r="J1975" i="1"/>
  <c r="I1975" i="1"/>
  <c r="H1975" i="1"/>
  <c r="G1975" i="1"/>
  <c r="F1975" i="1"/>
  <c r="C1974" i="1"/>
  <c r="AG1973" i="1"/>
  <c r="AF1973" i="1"/>
  <c r="AE1973" i="1"/>
  <c r="J1977" i="1" s="1"/>
  <c r="AD1973" i="1"/>
  <c r="AC1973" i="1"/>
  <c r="J1976" i="1" s="1"/>
  <c r="AB1973" i="1"/>
  <c r="E1973" i="1"/>
  <c r="D1973" i="1"/>
  <c r="C1973" i="1"/>
  <c r="B1973" i="1"/>
  <c r="J1971" i="1"/>
  <c r="I1972" i="1" s="1"/>
  <c r="AA1972" i="1" s="1"/>
  <c r="I1971" i="1"/>
  <c r="H1971" i="1"/>
  <c r="G1971" i="1"/>
  <c r="F1971" i="1"/>
  <c r="AG1970" i="1"/>
  <c r="AF1970" i="1"/>
  <c r="AE1970" i="1"/>
  <c r="AD1970" i="1"/>
  <c r="AC1970" i="1"/>
  <c r="AB1970" i="1"/>
  <c r="E1970" i="1"/>
  <c r="D1970" i="1"/>
  <c r="C1970" i="1"/>
  <c r="B1970" i="1"/>
  <c r="A1969" i="1"/>
  <c r="A1966" i="1"/>
  <c r="I1964" i="1"/>
  <c r="J1963" i="1"/>
  <c r="I1963" i="1"/>
  <c r="H1963" i="1"/>
  <c r="G1963" i="1"/>
  <c r="F1963" i="1"/>
  <c r="AG1962" i="1"/>
  <c r="AF1962" i="1"/>
  <c r="AE1962" i="1"/>
  <c r="AD1962" i="1"/>
  <c r="AC1962" i="1"/>
  <c r="AB1962" i="1"/>
  <c r="E1962" i="1"/>
  <c r="D1962" i="1"/>
  <c r="C1962" i="1"/>
  <c r="B1962" i="1"/>
  <c r="A1961" i="1"/>
  <c r="A1958" i="1"/>
  <c r="AG1955" i="1"/>
  <c r="AF1955" i="1"/>
  <c r="AE1955" i="1"/>
  <c r="AD1955" i="1"/>
  <c r="AC1955" i="1"/>
  <c r="AB1955" i="1"/>
  <c r="J1955" i="1"/>
  <c r="I1955" i="1"/>
  <c r="H1955" i="1"/>
  <c r="F1955" i="1"/>
  <c r="E1955" i="1"/>
  <c r="D1955" i="1"/>
  <c r="C1955" i="1"/>
  <c r="B1955" i="1"/>
  <c r="J1954" i="1"/>
  <c r="I1956" i="1" s="1"/>
  <c r="AA1956" i="1" s="1"/>
  <c r="I1954" i="1"/>
  <c r="H1954" i="1"/>
  <c r="G1954" i="1"/>
  <c r="F1954" i="1"/>
  <c r="AG1953" i="1"/>
  <c r="AF1953" i="1"/>
  <c r="AE1953" i="1"/>
  <c r="AD1953" i="1"/>
  <c r="AC1953" i="1"/>
  <c r="AB1953" i="1"/>
  <c r="E1953" i="1"/>
  <c r="D1953" i="1"/>
  <c r="C1953" i="1"/>
  <c r="B1953" i="1"/>
  <c r="K1951" i="1"/>
  <c r="H1951" i="1"/>
  <c r="G1951" i="1"/>
  <c r="E1951" i="1"/>
  <c r="E1950" i="1"/>
  <c r="E1949" i="1"/>
  <c r="J1948" i="1"/>
  <c r="I1948" i="1"/>
  <c r="H1948" i="1"/>
  <c r="G1948" i="1"/>
  <c r="F1948" i="1"/>
  <c r="C1947" i="1"/>
  <c r="AG1946" i="1"/>
  <c r="AF1946" i="1"/>
  <c r="AE1946" i="1"/>
  <c r="J1950" i="1" s="1"/>
  <c r="AD1946" i="1"/>
  <c r="AC1946" i="1"/>
  <c r="J1949" i="1" s="1"/>
  <c r="AB1946" i="1"/>
  <c r="E1946" i="1"/>
  <c r="D1946" i="1"/>
  <c r="C1946" i="1"/>
  <c r="B1946" i="1"/>
  <c r="K1944" i="1"/>
  <c r="H1944" i="1"/>
  <c r="G1944" i="1"/>
  <c r="E1944" i="1"/>
  <c r="E1943" i="1"/>
  <c r="E1942" i="1"/>
  <c r="J1941" i="1"/>
  <c r="I1941" i="1"/>
  <c r="H1941" i="1"/>
  <c r="G1941" i="1"/>
  <c r="F1941" i="1"/>
  <c r="C1940" i="1"/>
  <c r="AG1939" i="1"/>
  <c r="AF1939" i="1"/>
  <c r="AE1939" i="1"/>
  <c r="J1943" i="1" s="1"/>
  <c r="AD1939" i="1"/>
  <c r="AC1939" i="1"/>
  <c r="J1942" i="1" s="1"/>
  <c r="I1945" i="1" s="1"/>
  <c r="AB1939" i="1"/>
  <c r="E1939" i="1"/>
  <c r="D1939" i="1"/>
  <c r="C1939" i="1"/>
  <c r="B1939" i="1"/>
  <c r="I1938" i="1"/>
  <c r="J1937" i="1"/>
  <c r="I1937" i="1"/>
  <c r="H1937" i="1"/>
  <c r="G1937" i="1"/>
  <c r="F1937" i="1"/>
  <c r="AG1936" i="1"/>
  <c r="AF1936" i="1"/>
  <c r="AE1936" i="1"/>
  <c r="AD1936" i="1"/>
  <c r="AC1936" i="1"/>
  <c r="AB1936" i="1"/>
  <c r="E1936" i="1"/>
  <c r="D1936" i="1"/>
  <c r="C1936" i="1"/>
  <c r="B1936" i="1"/>
  <c r="A1935" i="1"/>
  <c r="A1932" i="1"/>
  <c r="K1929" i="1"/>
  <c r="H1929" i="1"/>
  <c r="G1929" i="1"/>
  <c r="E1929" i="1"/>
  <c r="E1928" i="1"/>
  <c r="E1927" i="1"/>
  <c r="J1926" i="1"/>
  <c r="I1926" i="1"/>
  <c r="H1926" i="1"/>
  <c r="G1926" i="1"/>
  <c r="F1926" i="1"/>
  <c r="C1925" i="1"/>
  <c r="AG1924" i="1"/>
  <c r="AF1924" i="1"/>
  <c r="AE1924" i="1"/>
  <c r="J1928" i="1" s="1"/>
  <c r="AD1924" i="1"/>
  <c r="AC1924" i="1"/>
  <c r="J1927" i="1" s="1"/>
  <c r="AB1924" i="1"/>
  <c r="E1924" i="1"/>
  <c r="D1924" i="1"/>
  <c r="C1924" i="1"/>
  <c r="B1924" i="1"/>
  <c r="AG1922" i="1"/>
  <c r="AF1922" i="1"/>
  <c r="AE1922" i="1"/>
  <c r="AD1922" i="1"/>
  <c r="AC1922" i="1"/>
  <c r="AB1922" i="1"/>
  <c r="J1922" i="1"/>
  <c r="I1922" i="1"/>
  <c r="H1922" i="1"/>
  <c r="F1922" i="1"/>
  <c r="E1922" i="1"/>
  <c r="D1922" i="1"/>
  <c r="C1922" i="1"/>
  <c r="B1922" i="1"/>
  <c r="J1921" i="1"/>
  <c r="I1923" i="1" s="1"/>
  <c r="I1921" i="1"/>
  <c r="H1921" i="1"/>
  <c r="G1921" i="1"/>
  <c r="F1921" i="1"/>
  <c r="AG1920" i="1"/>
  <c r="AF1920" i="1"/>
  <c r="AE1920" i="1"/>
  <c r="AD1920" i="1"/>
  <c r="AC1920" i="1"/>
  <c r="AB1920" i="1"/>
  <c r="E1920" i="1"/>
  <c r="D1920" i="1"/>
  <c r="C1920" i="1"/>
  <c r="B1920" i="1"/>
  <c r="A1919" i="1"/>
  <c r="A1916" i="1"/>
  <c r="K1913" i="1"/>
  <c r="H1913" i="1"/>
  <c r="G1913" i="1"/>
  <c r="E1913" i="1"/>
  <c r="J1912" i="1"/>
  <c r="E1912" i="1"/>
  <c r="J1911" i="1"/>
  <c r="I1914" i="1" s="1"/>
  <c r="E1911" i="1"/>
  <c r="J1910" i="1"/>
  <c r="I1910" i="1"/>
  <c r="H1910" i="1"/>
  <c r="G1910" i="1"/>
  <c r="F1910" i="1"/>
  <c r="J1909" i="1"/>
  <c r="I1909" i="1"/>
  <c r="H1909" i="1"/>
  <c r="G1909" i="1"/>
  <c r="F1909" i="1"/>
  <c r="C1908" i="1"/>
  <c r="AG1907" i="1"/>
  <c r="AF1907" i="1"/>
  <c r="AE1907" i="1"/>
  <c r="AD1907" i="1"/>
  <c r="AC1907" i="1"/>
  <c r="AB1907" i="1"/>
  <c r="E1907" i="1"/>
  <c r="D1907" i="1"/>
  <c r="C1907" i="1"/>
  <c r="B1907" i="1"/>
  <c r="AG1905" i="1"/>
  <c r="AF1905" i="1"/>
  <c r="AE1905" i="1"/>
  <c r="AD1905" i="1"/>
  <c r="AC1905" i="1"/>
  <c r="AB1905" i="1"/>
  <c r="J1905" i="1"/>
  <c r="I1905" i="1"/>
  <c r="H1905" i="1"/>
  <c r="F1905" i="1"/>
  <c r="E1905" i="1"/>
  <c r="D1905" i="1"/>
  <c r="C1905" i="1"/>
  <c r="B1905" i="1"/>
  <c r="J1904" i="1"/>
  <c r="I1906" i="1" s="1"/>
  <c r="I1904" i="1"/>
  <c r="H1904" i="1"/>
  <c r="G1904" i="1"/>
  <c r="F1904" i="1"/>
  <c r="AG1903" i="1"/>
  <c r="AF1903" i="1"/>
  <c r="AE1903" i="1"/>
  <c r="AD1903" i="1"/>
  <c r="AC1903" i="1"/>
  <c r="AB1903" i="1"/>
  <c r="E1903" i="1"/>
  <c r="D1903" i="1"/>
  <c r="C1903" i="1"/>
  <c r="B1903" i="1"/>
  <c r="I1902" i="1"/>
  <c r="AA1902" i="1" s="1"/>
  <c r="AG1901" i="1"/>
  <c r="AF1901" i="1"/>
  <c r="AE1901" i="1"/>
  <c r="AD1901" i="1"/>
  <c r="AC1901" i="1"/>
  <c r="AB1901" i="1"/>
  <c r="J1901" i="1"/>
  <c r="I1901" i="1"/>
  <c r="H1901" i="1"/>
  <c r="F1901" i="1"/>
  <c r="E1901" i="1"/>
  <c r="D1901" i="1"/>
  <c r="C1901" i="1"/>
  <c r="B1901" i="1"/>
  <c r="J1900" i="1"/>
  <c r="I1900" i="1"/>
  <c r="H1900" i="1"/>
  <c r="G1900" i="1"/>
  <c r="F1900" i="1"/>
  <c r="AG1899" i="1"/>
  <c r="AF1899" i="1"/>
  <c r="AE1899" i="1"/>
  <c r="AD1899" i="1"/>
  <c r="AC1899" i="1"/>
  <c r="AB1899" i="1"/>
  <c r="E1899" i="1"/>
  <c r="D1899" i="1"/>
  <c r="C1899" i="1"/>
  <c r="B1899" i="1"/>
  <c r="K1897" i="1"/>
  <c r="H1897" i="1"/>
  <c r="G1897" i="1"/>
  <c r="E1897" i="1"/>
  <c r="E1896" i="1"/>
  <c r="E1895" i="1"/>
  <c r="J1894" i="1"/>
  <c r="I1894" i="1"/>
  <c r="H1894" i="1"/>
  <c r="G1894" i="1"/>
  <c r="F1894" i="1"/>
  <c r="C1893" i="1"/>
  <c r="AG1892" i="1"/>
  <c r="AF1892" i="1"/>
  <c r="AE1892" i="1"/>
  <c r="J1896" i="1" s="1"/>
  <c r="AD1892" i="1"/>
  <c r="AC1892" i="1"/>
  <c r="J1895" i="1" s="1"/>
  <c r="AB1892" i="1"/>
  <c r="E1892" i="1"/>
  <c r="D1892" i="1"/>
  <c r="C1892" i="1"/>
  <c r="B1892" i="1"/>
  <c r="K1890" i="1"/>
  <c r="H1890" i="1"/>
  <c r="G1890" i="1"/>
  <c r="E1890" i="1"/>
  <c r="J1889" i="1"/>
  <c r="E1889" i="1"/>
  <c r="E1888" i="1"/>
  <c r="J1887" i="1"/>
  <c r="E1887" i="1"/>
  <c r="J1886" i="1"/>
  <c r="I1886" i="1"/>
  <c r="H1886" i="1"/>
  <c r="G1886" i="1"/>
  <c r="F1886" i="1"/>
  <c r="J1885" i="1"/>
  <c r="I1885" i="1"/>
  <c r="H1885" i="1"/>
  <c r="G1885" i="1"/>
  <c r="F1885" i="1"/>
  <c r="J1884" i="1"/>
  <c r="I1884" i="1"/>
  <c r="H1884" i="1"/>
  <c r="G1884" i="1"/>
  <c r="F1884" i="1"/>
  <c r="C1883" i="1"/>
  <c r="AG1882" i="1"/>
  <c r="AF1882" i="1"/>
  <c r="AE1882" i="1"/>
  <c r="J1888" i="1" s="1"/>
  <c r="AD1882" i="1"/>
  <c r="AC1882" i="1"/>
  <c r="AB1882" i="1"/>
  <c r="E1882" i="1"/>
  <c r="D1882" i="1"/>
  <c r="C1882" i="1"/>
  <c r="B1882" i="1"/>
  <c r="K1880" i="1"/>
  <c r="H1880" i="1"/>
  <c r="G1880" i="1"/>
  <c r="E1880" i="1"/>
  <c r="E1879" i="1"/>
  <c r="E1878" i="1"/>
  <c r="J1877" i="1"/>
  <c r="I1877" i="1"/>
  <c r="H1877" i="1"/>
  <c r="G1877" i="1"/>
  <c r="F1877" i="1"/>
  <c r="C1876" i="1"/>
  <c r="AG1875" i="1"/>
  <c r="AF1875" i="1"/>
  <c r="AE1875" i="1"/>
  <c r="J1879" i="1" s="1"/>
  <c r="AD1875" i="1"/>
  <c r="AC1875" i="1"/>
  <c r="J1878" i="1" s="1"/>
  <c r="AB1875" i="1"/>
  <c r="E1875" i="1"/>
  <c r="D1875" i="1"/>
  <c r="C1875" i="1"/>
  <c r="B1875" i="1"/>
  <c r="K1873" i="1"/>
  <c r="H1873" i="1"/>
  <c r="G1873" i="1"/>
  <c r="E1873" i="1"/>
  <c r="E1872" i="1"/>
  <c r="E1871" i="1"/>
  <c r="J1870" i="1"/>
  <c r="I1870" i="1"/>
  <c r="H1870" i="1"/>
  <c r="G1870" i="1"/>
  <c r="F1870" i="1"/>
  <c r="C1869" i="1"/>
  <c r="AG1868" i="1"/>
  <c r="AF1868" i="1"/>
  <c r="AE1868" i="1"/>
  <c r="J1872" i="1" s="1"/>
  <c r="AD1868" i="1"/>
  <c r="AC1868" i="1"/>
  <c r="J1871" i="1" s="1"/>
  <c r="I1874" i="1" s="1"/>
  <c r="AB1868" i="1"/>
  <c r="E1868" i="1"/>
  <c r="D1868" i="1"/>
  <c r="C1868" i="1"/>
  <c r="B1868" i="1"/>
  <c r="K1866" i="1"/>
  <c r="H1866" i="1"/>
  <c r="G1866" i="1"/>
  <c r="E1866" i="1"/>
  <c r="E1865" i="1"/>
  <c r="E1864" i="1"/>
  <c r="J1863" i="1"/>
  <c r="I1863" i="1"/>
  <c r="H1863" i="1"/>
  <c r="G1863" i="1"/>
  <c r="F1863" i="1"/>
  <c r="C1862" i="1"/>
  <c r="AG1861" i="1"/>
  <c r="AF1861" i="1"/>
  <c r="AE1861" i="1"/>
  <c r="J1865" i="1" s="1"/>
  <c r="AD1861" i="1"/>
  <c r="AC1861" i="1"/>
  <c r="J1864" i="1" s="1"/>
  <c r="AB1861" i="1"/>
  <c r="E1861" i="1"/>
  <c r="D1861" i="1"/>
  <c r="C1861" i="1"/>
  <c r="B1861" i="1"/>
  <c r="K1859" i="1"/>
  <c r="H1859" i="1"/>
  <c r="G1859" i="1"/>
  <c r="E1859" i="1"/>
  <c r="E1858" i="1"/>
  <c r="E1857" i="1"/>
  <c r="J1856" i="1"/>
  <c r="I1856" i="1"/>
  <c r="H1856" i="1"/>
  <c r="G1856" i="1"/>
  <c r="F1856" i="1"/>
  <c r="C1855" i="1"/>
  <c r="AG1854" i="1"/>
  <c r="AF1854" i="1"/>
  <c r="AE1854" i="1"/>
  <c r="J1858" i="1" s="1"/>
  <c r="AD1854" i="1"/>
  <c r="AC1854" i="1"/>
  <c r="J1857" i="1" s="1"/>
  <c r="AB1854" i="1"/>
  <c r="E1854" i="1"/>
  <c r="D1854" i="1"/>
  <c r="C1854" i="1"/>
  <c r="B1854" i="1"/>
  <c r="E1852" i="1"/>
  <c r="J1851" i="1"/>
  <c r="I1851" i="1"/>
  <c r="H1851" i="1"/>
  <c r="G1851" i="1"/>
  <c r="F1851" i="1"/>
  <c r="J1850" i="1"/>
  <c r="I1853" i="1" s="1"/>
  <c r="I1850" i="1"/>
  <c r="H1850" i="1"/>
  <c r="G1850" i="1"/>
  <c r="F1850" i="1"/>
  <c r="C1849" i="1"/>
  <c r="AG1848" i="1"/>
  <c r="J1852" i="1" s="1"/>
  <c r="AF1848" i="1"/>
  <c r="AE1848" i="1"/>
  <c r="AD1848" i="1"/>
  <c r="AC1848" i="1"/>
  <c r="AB1848" i="1"/>
  <c r="E1848" i="1"/>
  <c r="D1848" i="1"/>
  <c r="C1848" i="1"/>
  <c r="B1848" i="1"/>
  <c r="I1847" i="1"/>
  <c r="AA1847" i="1" s="1"/>
  <c r="AG1846" i="1"/>
  <c r="AF1846" i="1"/>
  <c r="AE1846" i="1"/>
  <c r="AD1846" i="1"/>
  <c r="AC1846" i="1"/>
  <c r="AB1846" i="1"/>
  <c r="J1846" i="1"/>
  <c r="I1846" i="1"/>
  <c r="H1846" i="1"/>
  <c r="F1846" i="1"/>
  <c r="E1846" i="1"/>
  <c r="D1846" i="1"/>
  <c r="C1846" i="1"/>
  <c r="B1846" i="1"/>
  <c r="J1845" i="1"/>
  <c r="I1845" i="1"/>
  <c r="H1845" i="1"/>
  <c r="G1845" i="1"/>
  <c r="F1845" i="1"/>
  <c r="AG1844" i="1"/>
  <c r="AF1844" i="1"/>
  <c r="AE1844" i="1"/>
  <c r="AD1844" i="1"/>
  <c r="AC1844" i="1"/>
  <c r="AB1844" i="1"/>
  <c r="E1844" i="1"/>
  <c r="D1844" i="1"/>
  <c r="C1844" i="1"/>
  <c r="B1844" i="1"/>
  <c r="I1843" i="1"/>
  <c r="AA1843" i="1" s="1"/>
  <c r="J1842" i="1"/>
  <c r="I1842" i="1"/>
  <c r="H1842" i="1"/>
  <c r="G1842" i="1"/>
  <c r="F1842" i="1"/>
  <c r="AG1841" i="1"/>
  <c r="AF1841" i="1"/>
  <c r="AE1841" i="1"/>
  <c r="AD1841" i="1"/>
  <c r="AC1841" i="1"/>
  <c r="AB1841" i="1"/>
  <c r="E1841" i="1"/>
  <c r="D1841" i="1"/>
  <c r="C1841" i="1"/>
  <c r="B1841" i="1"/>
  <c r="AA1840" i="1"/>
  <c r="K1840" i="1"/>
  <c r="I1840" i="1"/>
  <c r="J1839" i="1"/>
  <c r="I1839" i="1"/>
  <c r="H1839" i="1"/>
  <c r="G1839" i="1"/>
  <c r="F1839" i="1"/>
  <c r="AG1838" i="1"/>
  <c r="AF1838" i="1"/>
  <c r="AE1838" i="1"/>
  <c r="AD1838" i="1"/>
  <c r="AC1838" i="1"/>
  <c r="AB1838" i="1"/>
  <c r="E1838" i="1"/>
  <c r="D1838" i="1"/>
  <c r="C1838" i="1"/>
  <c r="B1838" i="1"/>
  <c r="A1837" i="1"/>
  <c r="A1835" i="1"/>
  <c r="AQ1832" i="1"/>
  <c r="A1832" i="1"/>
  <c r="K1829" i="1"/>
  <c r="H1829" i="1"/>
  <c r="G1829" i="1"/>
  <c r="E1829" i="1"/>
  <c r="E1828" i="1"/>
  <c r="J1827" i="1"/>
  <c r="E1827" i="1"/>
  <c r="E1826" i="1"/>
  <c r="J1825" i="1"/>
  <c r="I1825" i="1"/>
  <c r="H1825" i="1"/>
  <c r="G1825" i="1"/>
  <c r="F1825" i="1"/>
  <c r="J1824" i="1"/>
  <c r="I1824" i="1"/>
  <c r="H1824" i="1"/>
  <c r="G1824" i="1"/>
  <c r="F1824" i="1"/>
  <c r="J1823" i="1"/>
  <c r="I1823" i="1"/>
  <c r="H1823" i="1"/>
  <c r="G1823" i="1"/>
  <c r="F1823" i="1"/>
  <c r="C1822" i="1"/>
  <c r="AG1821" i="1"/>
  <c r="J1828" i="1" s="1"/>
  <c r="AF1821" i="1"/>
  <c r="AE1821" i="1"/>
  <c r="AD1821" i="1"/>
  <c r="AC1821" i="1"/>
  <c r="J1826" i="1" s="1"/>
  <c r="AB1821" i="1"/>
  <c r="E1821" i="1"/>
  <c r="D1821" i="1"/>
  <c r="C1821" i="1"/>
  <c r="B1821" i="1"/>
  <c r="K1819" i="1"/>
  <c r="H1819" i="1"/>
  <c r="G1819" i="1"/>
  <c r="E1819" i="1"/>
  <c r="E1818" i="1"/>
  <c r="E1817" i="1"/>
  <c r="E1816" i="1"/>
  <c r="AG1815" i="1"/>
  <c r="AF1815" i="1"/>
  <c r="AE1815" i="1"/>
  <c r="AD1815" i="1"/>
  <c r="AC1815" i="1"/>
  <c r="AB1815" i="1"/>
  <c r="J1815" i="1"/>
  <c r="I1815" i="1"/>
  <c r="H1815" i="1"/>
  <c r="F1815" i="1"/>
  <c r="E1815" i="1"/>
  <c r="D1815" i="1"/>
  <c r="C1815" i="1"/>
  <c r="B1815" i="1"/>
  <c r="J1814" i="1"/>
  <c r="I1814" i="1"/>
  <c r="H1814" i="1"/>
  <c r="G1814" i="1"/>
  <c r="F1814" i="1"/>
  <c r="J1813" i="1"/>
  <c r="I1813" i="1"/>
  <c r="H1813" i="1"/>
  <c r="G1813" i="1"/>
  <c r="F1813" i="1"/>
  <c r="J1812" i="1"/>
  <c r="I1812" i="1"/>
  <c r="H1812" i="1"/>
  <c r="G1812" i="1"/>
  <c r="F1812" i="1"/>
  <c r="C1811" i="1"/>
  <c r="AG1810" i="1"/>
  <c r="J1818" i="1" s="1"/>
  <c r="AF1810" i="1"/>
  <c r="AE1810" i="1"/>
  <c r="J1817" i="1" s="1"/>
  <c r="AD1810" i="1"/>
  <c r="AC1810" i="1"/>
  <c r="J1816" i="1" s="1"/>
  <c r="AB1810" i="1"/>
  <c r="E1810" i="1"/>
  <c r="D1810" i="1"/>
  <c r="C1810" i="1"/>
  <c r="B1810" i="1"/>
  <c r="AP1809" i="1"/>
  <c r="A1809" i="1"/>
  <c r="A1806" i="1"/>
  <c r="AG1803" i="1"/>
  <c r="AF1803" i="1"/>
  <c r="AE1803" i="1"/>
  <c r="AD1803" i="1"/>
  <c r="AC1803" i="1"/>
  <c r="AB1803" i="1"/>
  <c r="J1803" i="1"/>
  <c r="I1803" i="1"/>
  <c r="H1803" i="1"/>
  <c r="F1803" i="1"/>
  <c r="E1803" i="1"/>
  <c r="D1803" i="1"/>
  <c r="C1803" i="1"/>
  <c r="B1803" i="1"/>
  <c r="J1802" i="1"/>
  <c r="I1804" i="1" s="1"/>
  <c r="I1802" i="1"/>
  <c r="H1802" i="1"/>
  <c r="G1802" i="1"/>
  <c r="F1802" i="1"/>
  <c r="AG1801" i="1"/>
  <c r="AF1801" i="1"/>
  <c r="AE1801" i="1"/>
  <c r="AD1801" i="1"/>
  <c r="AC1801" i="1"/>
  <c r="AB1801" i="1"/>
  <c r="E1801" i="1"/>
  <c r="D1801" i="1"/>
  <c r="C1801" i="1"/>
  <c r="B1801" i="1"/>
  <c r="A1800" i="1"/>
  <c r="A1797" i="1"/>
  <c r="K1794" i="1"/>
  <c r="H1794" i="1"/>
  <c r="G1794" i="1"/>
  <c r="E1794" i="1"/>
  <c r="E1793" i="1"/>
  <c r="E1792" i="1"/>
  <c r="J1791" i="1"/>
  <c r="I1791" i="1"/>
  <c r="H1791" i="1"/>
  <c r="G1791" i="1"/>
  <c r="F1791" i="1"/>
  <c r="C1790" i="1"/>
  <c r="AG1789" i="1"/>
  <c r="AF1789" i="1"/>
  <c r="AE1789" i="1"/>
  <c r="J1793" i="1" s="1"/>
  <c r="AD1789" i="1"/>
  <c r="AC1789" i="1"/>
  <c r="J1792" i="1" s="1"/>
  <c r="AB1789" i="1"/>
  <c r="E1789" i="1"/>
  <c r="D1789" i="1"/>
  <c r="C1789" i="1"/>
  <c r="B1789" i="1"/>
  <c r="A1788" i="1"/>
  <c r="A1785" i="1"/>
  <c r="K1782" i="1"/>
  <c r="H1782" i="1"/>
  <c r="G1782" i="1"/>
  <c r="E1782" i="1"/>
  <c r="E1781" i="1"/>
  <c r="E1780" i="1"/>
  <c r="J1779" i="1"/>
  <c r="I1779" i="1"/>
  <c r="H1779" i="1"/>
  <c r="G1779" i="1"/>
  <c r="F1779" i="1"/>
  <c r="C1778" i="1"/>
  <c r="AG1777" i="1"/>
  <c r="AF1777" i="1"/>
  <c r="AE1777" i="1"/>
  <c r="J1781" i="1" s="1"/>
  <c r="AD1777" i="1"/>
  <c r="AC1777" i="1"/>
  <c r="J1780" i="1" s="1"/>
  <c r="I1783" i="1" s="1"/>
  <c r="AB1777" i="1"/>
  <c r="E1777" i="1"/>
  <c r="D1777" i="1"/>
  <c r="C1777" i="1"/>
  <c r="B1777" i="1"/>
  <c r="A1776" i="1"/>
  <c r="A1773" i="1"/>
  <c r="K1770" i="1"/>
  <c r="H1770" i="1"/>
  <c r="G1770" i="1"/>
  <c r="E1770" i="1"/>
  <c r="E1769" i="1"/>
  <c r="E1768" i="1"/>
  <c r="J1767" i="1"/>
  <c r="I1767" i="1"/>
  <c r="H1767" i="1"/>
  <c r="G1767" i="1"/>
  <c r="F1767" i="1"/>
  <c r="C1766" i="1"/>
  <c r="AG1765" i="1"/>
  <c r="AF1765" i="1"/>
  <c r="AE1765" i="1"/>
  <c r="J1769" i="1" s="1"/>
  <c r="AD1765" i="1"/>
  <c r="AC1765" i="1"/>
  <c r="J1768" i="1" s="1"/>
  <c r="I1771" i="1" s="1"/>
  <c r="AB1765" i="1"/>
  <c r="E1765" i="1"/>
  <c r="D1765" i="1"/>
  <c r="C1765" i="1"/>
  <c r="B1765" i="1"/>
  <c r="A1764" i="1"/>
  <c r="A1761" i="1"/>
  <c r="K1758" i="1"/>
  <c r="H1758" i="1"/>
  <c r="G1758" i="1"/>
  <c r="E1758" i="1"/>
  <c r="E1757" i="1"/>
  <c r="E1756" i="1"/>
  <c r="J1755" i="1"/>
  <c r="I1755" i="1"/>
  <c r="H1755" i="1"/>
  <c r="G1755" i="1"/>
  <c r="F1755" i="1"/>
  <c r="C1754" i="1"/>
  <c r="AG1753" i="1"/>
  <c r="AF1753" i="1"/>
  <c r="AE1753" i="1"/>
  <c r="J1757" i="1" s="1"/>
  <c r="AD1753" i="1"/>
  <c r="AC1753" i="1"/>
  <c r="J1756" i="1" s="1"/>
  <c r="I1759" i="1" s="1"/>
  <c r="AB1753" i="1"/>
  <c r="E1753" i="1"/>
  <c r="D1753" i="1"/>
  <c r="C1753" i="1"/>
  <c r="B1753" i="1"/>
  <c r="A1752" i="1"/>
  <c r="A1749" i="1"/>
  <c r="K1746" i="1"/>
  <c r="H1746" i="1"/>
  <c r="G1746" i="1"/>
  <c r="E1746" i="1"/>
  <c r="E1745" i="1"/>
  <c r="E1744" i="1"/>
  <c r="J1743" i="1"/>
  <c r="I1743" i="1"/>
  <c r="H1743" i="1"/>
  <c r="G1743" i="1"/>
  <c r="F1743" i="1"/>
  <c r="C1742" i="1"/>
  <c r="AG1741" i="1"/>
  <c r="AF1741" i="1"/>
  <c r="AE1741" i="1"/>
  <c r="J1745" i="1" s="1"/>
  <c r="AD1741" i="1"/>
  <c r="AC1741" i="1"/>
  <c r="J1744" i="1" s="1"/>
  <c r="AB1741" i="1"/>
  <c r="E1741" i="1"/>
  <c r="D1741" i="1"/>
  <c r="C1741" i="1"/>
  <c r="B1741" i="1"/>
  <c r="K1739" i="1"/>
  <c r="H1739" i="1"/>
  <c r="G1739" i="1"/>
  <c r="E1739" i="1"/>
  <c r="E1738" i="1"/>
  <c r="E1737" i="1"/>
  <c r="J1736" i="1"/>
  <c r="I1736" i="1"/>
  <c r="H1736" i="1"/>
  <c r="G1736" i="1"/>
  <c r="F1736" i="1"/>
  <c r="C1735" i="1"/>
  <c r="AG1734" i="1"/>
  <c r="AF1734" i="1"/>
  <c r="AE1734" i="1"/>
  <c r="J1738" i="1" s="1"/>
  <c r="AD1734" i="1"/>
  <c r="AC1734" i="1"/>
  <c r="J1737" i="1" s="1"/>
  <c r="AB1734" i="1"/>
  <c r="E1734" i="1"/>
  <c r="D1734" i="1"/>
  <c r="C1734" i="1"/>
  <c r="B1734" i="1"/>
  <c r="K1732" i="1"/>
  <c r="H1732" i="1"/>
  <c r="G1732" i="1"/>
  <c r="E1732" i="1"/>
  <c r="E1731" i="1"/>
  <c r="E1730" i="1"/>
  <c r="J1729" i="1"/>
  <c r="I1729" i="1"/>
  <c r="H1729" i="1"/>
  <c r="G1729" i="1"/>
  <c r="F1729" i="1"/>
  <c r="C1728" i="1"/>
  <c r="AG1727" i="1"/>
  <c r="AF1727" i="1"/>
  <c r="AE1727" i="1"/>
  <c r="J1731" i="1" s="1"/>
  <c r="AD1727" i="1"/>
  <c r="AC1727" i="1"/>
  <c r="J1730" i="1" s="1"/>
  <c r="I1733" i="1" s="1"/>
  <c r="AB1727" i="1"/>
  <c r="E1727" i="1"/>
  <c r="D1727" i="1"/>
  <c r="C1727" i="1"/>
  <c r="B1727" i="1"/>
  <c r="K1725" i="1"/>
  <c r="H1725" i="1"/>
  <c r="G1725" i="1"/>
  <c r="E1725" i="1"/>
  <c r="E1724" i="1"/>
  <c r="E1723" i="1"/>
  <c r="J1722" i="1"/>
  <c r="I1722" i="1"/>
  <c r="H1722" i="1"/>
  <c r="G1722" i="1"/>
  <c r="F1722" i="1"/>
  <c r="C1721" i="1"/>
  <c r="AG1720" i="1"/>
  <c r="AF1720" i="1"/>
  <c r="AE1720" i="1"/>
  <c r="J1724" i="1" s="1"/>
  <c r="AD1720" i="1"/>
  <c r="AC1720" i="1"/>
  <c r="J1723" i="1" s="1"/>
  <c r="AB1720" i="1"/>
  <c r="E1720" i="1"/>
  <c r="D1720" i="1"/>
  <c r="C1720" i="1"/>
  <c r="B1720" i="1"/>
  <c r="K1718" i="1"/>
  <c r="H1718" i="1"/>
  <c r="G1718" i="1"/>
  <c r="E1718" i="1"/>
  <c r="E1717" i="1"/>
  <c r="E1716" i="1"/>
  <c r="J1715" i="1"/>
  <c r="I1715" i="1"/>
  <c r="H1715" i="1"/>
  <c r="G1715" i="1"/>
  <c r="F1715" i="1"/>
  <c r="C1714" i="1"/>
  <c r="AG1713" i="1"/>
  <c r="AF1713" i="1"/>
  <c r="AE1713" i="1"/>
  <c r="J1717" i="1" s="1"/>
  <c r="AD1713" i="1"/>
  <c r="AC1713" i="1"/>
  <c r="J1716" i="1" s="1"/>
  <c r="AB1713" i="1"/>
  <c r="E1713" i="1"/>
  <c r="D1713" i="1"/>
  <c r="C1713" i="1"/>
  <c r="B1713" i="1"/>
  <c r="K1711" i="1"/>
  <c r="H1711" i="1"/>
  <c r="G1711" i="1"/>
  <c r="E1711" i="1"/>
  <c r="E1710" i="1"/>
  <c r="E1709" i="1"/>
  <c r="J1708" i="1"/>
  <c r="I1708" i="1"/>
  <c r="H1708" i="1"/>
  <c r="G1708" i="1"/>
  <c r="F1708" i="1"/>
  <c r="C1707" i="1"/>
  <c r="AG1706" i="1"/>
  <c r="AF1706" i="1"/>
  <c r="AE1706" i="1"/>
  <c r="J1710" i="1" s="1"/>
  <c r="AD1706" i="1"/>
  <c r="AC1706" i="1"/>
  <c r="J1709" i="1" s="1"/>
  <c r="AB1706" i="1"/>
  <c r="E1706" i="1"/>
  <c r="D1706" i="1"/>
  <c r="C1706" i="1"/>
  <c r="B1706" i="1"/>
  <c r="K1704" i="1"/>
  <c r="H1704" i="1"/>
  <c r="G1704" i="1"/>
  <c r="E1704" i="1"/>
  <c r="E1703" i="1"/>
  <c r="E1702" i="1"/>
  <c r="J1701" i="1"/>
  <c r="I1701" i="1"/>
  <c r="H1701" i="1"/>
  <c r="G1701" i="1"/>
  <c r="F1701" i="1"/>
  <c r="C1700" i="1"/>
  <c r="AG1699" i="1"/>
  <c r="AF1699" i="1"/>
  <c r="AE1699" i="1"/>
  <c r="J1703" i="1" s="1"/>
  <c r="AD1699" i="1"/>
  <c r="AC1699" i="1"/>
  <c r="J1702" i="1" s="1"/>
  <c r="I1705" i="1" s="1"/>
  <c r="AB1699" i="1"/>
  <c r="E1699" i="1"/>
  <c r="D1699" i="1"/>
  <c r="C1699" i="1"/>
  <c r="B1699" i="1"/>
  <c r="K1697" i="1"/>
  <c r="H1697" i="1"/>
  <c r="G1697" i="1"/>
  <c r="E1697" i="1"/>
  <c r="E1696" i="1"/>
  <c r="E1695" i="1"/>
  <c r="J1694" i="1"/>
  <c r="I1694" i="1"/>
  <c r="H1694" i="1"/>
  <c r="G1694" i="1"/>
  <c r="F1694" i="1"/>
  <c r="C1693" i="1"/>
  <c r="AG1692" i="1"/>
  <c r="AF1692" i="1"/>
  <c r="AE1692" i="1"/>
  <c r="J1696" i="1" s="1"/>
  <c r="AD1692" i="1"/>
  <c r="AC1692" i="1"/>
  <c r="J1695" i="1" s="1"/>
  <c r="AB1692" i="1"/>
  <c r="E1692" i="1"/>
  <c r="D1692" i="1"/>
  <c r="C1692" i="1"/>
  <c r="B1692" i="1"/>
  <c r="K1690" i="1"/>
  <c r="H1690" i="1"/>
  <c r="G1690" i="1"/>
  <c r="E1690" i="1"/>
  <c r="E1689" i="1"/>
  <c r="E1688" i="1"/>
  <c r="J1687" i="1"/>
  <c r="I1687" i="1"/>
  <c r="H1687" i="1"/>
  <c r="G1687" i="1"/>
  <c r="F1687" i="1"/>
  <c r="C1686" i="1"/>
  <c r="AG1685" i="1"/>
  <c r="AF1685" i="1"/>
  <c r="AE1685" i="1"/>
  <c r="J1689" i="1" s="1"/>
  <c r="AD1685" i="1"/>
  <c r="AC1685" i="1"/>
  <c r="J1688" i="1" s="1"/>
  <c r="AB1685" i="1"/>
  <c r="E1685" i="1"/>
  <c r="D1685" i="1"/>
  <c r="C1685" i="1"/>
  <c r="B1685" i="1"/>
  <c r="K1683" i="1"/>
  <c r="H1683" i="1"/>
  <c r="G1683" i="1"/>
  <c r="E1683" i="1"/>
  <c r="E1682" i="1"/>
  <c r="E1681" i="1"/>
  <c r="J1680" i="1"/>
  <c r="I1680" i="1"/>
  <c r="H1680" i="1"/>
  <c r="G1680" i="1"/>
  <c r="F1680" i="1"/>
  <c r="C1679" i="1"/>
  <c r="AG1678" i="1"/>
  <c r="AF1678" i="1"/>
  <c r="AE1678" i="1"/>
  <c r="J1682" i="1" s="1"/>
  <c r="AD1678" i="1"/>
  <c r="AC1678" i="1"/>
  <c r="J1681" i="1" s="1"/>
  <c r="AB1678" i="1"/>
  <c r="E1678" i="1"/>
  <c r="D1678" i="1"/>
  <c r="C1678" i="1"/>
  <c r="B1678" i="1"/>
  <c r="K1676" i="1"/>
  <c r="H1676" i="1"/>
  <c r="G1676" i="1"/>
  <c r="E1676" i="1"/>
  <c r="E1675" i="1"/>
  <c r="E1674" i="1"/>
  <c r="J1673" i="1"/>
  <c r="I1673" i="1"/>
  <c r="H1673" i="1"/>
  <c r="G1673" i="1"/>
  <c r="F1673" i="1"/>
  <c r="C1672" i="1"/>
  <c r="AG1671" i="1"/>
  <c r="AF1671" i="1"/>
  <c r="AE1671" i="1"/>
  <c r="J1675" i="1" s="1"/>
  <c r="AD1671" i="1"/>
  <c r="AC1671" i="1"/>
  <c r="J1674" i="1" s="1"/>
  <c r="I1677" i="1" s="1"/>
  <c r="AB1671" i="1"/>
  <c r="E1671" i="1"/>
  <c r="D1671" i="1"/>
  <c r="C1671" i="1"/>
  <c r="B1671" i="1"/>
  <c r="K1669" i="1"/>
  <c r="H1669" i="1"/>
  <c r="G1669" i="1"/>
  <c r="E1669" i="1"/>
  <c r="E1668" i="1"/>
  <c r="E1667" i="1"/>
  <c r="J1666" i="1"/>
  <c r="I1666" i="1"/>
  <c r="H1666" i="1"/>
  <c r="G1666" i="1"/>
  <c r="F1666" i="1"/>
  <c r="C1665" i="1"/>
  <c r="AG1664" i="1"/>
  <c r="AF1664" i="1"/>
  <c r="AE1664" i="1"/>
  <c r="J1668" i="1" s="1"/>
  <c r="AD1664" i="1"/>
  <c r="AC1664" i="1"/>
  <c r="J1667" i="1" s="1"/>
  <c r="AB1664" i="1"/>
  <c r="E1664" i="1"/>
  <c r="D1664" i="1"/>
  <c r="C1664" i="1"/>
  <c r="B1664" i="1"/>
  <c r="K1662" i="1"/>
  <c r="H1662" i="1"/>
  <c r="G1662" i="1"/>
  <c r="E1662" i="1"/>
  <c r="E1661" i="1"/>
  <c r="E1660" i="1"/>
  <c r="J1659" i="1"/>
  <c r="I1659" i="1"/>
  <c r="H1659" i="1"/>
  <c r="G1659" i="1"/>
  <c r="F1659" i="1"/>
  <c r="C1658" i="1"/>
  <c r="AG1657" i="1"/>
  <c r="AF1657" i="1"/>
  <c r="AE1657" i="1"/>
  <c r="J1661" i="1" s="1"/>
  <c r="AD1657" i="1"/>
  <c r="AC1657" i="1"/>
  <c r="J1660" i="1" s="1"/>
  <c r="AB1657" i="1"/>
  <c r="E1657" i="1"/>
  <c r="D1657" i="1"/>
  <c r="C1657" i="1"/>
  <c r="B1657" i="1"/>
  <c r="K1655" i="1"/>
  <c r="H1655" i="1"/>
  <c r="G1655" i="1"/>
  <c r="E1655" i="1"/>
  <c r="E1654" i="1"/>
  <c r="E1653" i="1"/>
  <c r="J1652" i="1"/>
  <c r="I1652" i="1"/>
  <c r="H1652" i="1"/>
  <c r="G1652" i="1"/>
  <c r="F1652" i="1"/>
  <c r="C1651" i="1"/>
  <c r="AG1650" i="1"/>
  <c r="AF1650" i="1"/>
  <c r="AE1650" i="1"/>
  <c r="J1654" i="1" s="1"/>
  <c r="AD1650" i="1"/>
  <c r="AC1650" i="1"/>
  <c r="J1653" i="1" s="1"/>
  <c r="AB1650" i="1"/>
  <c r="E1650" i="1"/>
  <c r="D1650" i="1"/>
  <c r="C1650" i="1"/>
  <c r="B1650" i="1"/>
  <c r="K1648" i="1"/>
  <c r="H1648" i="1"/>
  <c r="G1648" i="1"/>
  <c r="E1648" i="1"/>
  <c r="E1647" i="1"/>
  <c r="E1646" i="1"/>
  <c r="J1645" i="1"/>
  <c r="I1645" i="1"/>
  <c r="H1645" i="1"/>
  <c r="G1645" i="1"/>
  <c r="F1645" i="1"/>
  <c r="C1644" i="1"/>
  <c r="AG1643" i="1"/>
  <c r="AF1643" i="1"/>
  <c r="AE1643" i="1"/>
  <c r="J1647" i="1" s="1"/>
  <c r="AD1643" i="1"/>
  <c r="AC1643" i="1"/>
  <c r="J1646" i="1" s="1"/>
  <c r="I1649" i="1" s="1"/>
  <c r="AB1643" i="1"/>
  <c r="E1643" i="1"/>
  <c r="D1643" i="1"/>
  <c r="C1643" i="1"/>
  <c r="B1643" i="1"/>
  <c r="K1641" i="1"/>
  <c r="H1641" i="1"/>
  <c r="G1641" i="1"/>
  <c r="E1641" i="1"/>
  <c r="E1640" i="1"/>
  <c r="E1639" i="1"/>
  <c r="J1638" i="1"/>
  <c r="I1638" i="1"/>
  <c r="H1638" i="1"/>
  <c r="G1638" i="1"/>
  <c r="F1638" i="1"/>
  <c r="C1637" i="1"/>
  <c r="AG1636" i="1"/>
  <c r="AF1636" i="1"/>
  <c r="AE1636" i="1"/>
  <c r="J1640" i="1" s="1"/>
  <c r="AD1636" i="1"/>
  <c r="AC1636" i="1"/>
  <c r="J1639" i="1" s="1"/>
  <c r="AB1636" i="1"/>
  <c r="E1636" i="1"/>
  <c r="D1636" i="1"/>
  <c r="C1636" i="1"/>
  <c r="B1636" i="1"/>
  <c r="K1634" i="1"/>
  <c r="H1634" i="1"/>
  <c r="G1634" i="1"/>
  <c r="E1634" i="1"/>
  <c r="E1633" i="1"/>
  <c r="E1632" i="1"/>
  <c r="J1631" i="1"/>
  <c r="I1631" i="1"/>
  <c r="H1631" i="1"/>
  <c r="G1631" i="1"/>
  <c r="F1631" i="1"/>
  <c r="C1630" i="1"/>
  <c r="AG1629" i="1"/>
  <c r="AF1629" i="1"/>
  <c r="AE1629" i="1"/>
  <c r="J1633" i="1" s="1"/>
  <c r="AD1629" i="1"/>
  <c r="AC1629" i="1"/>
  <c r="J1632" i="1" s="1"/>
  <c r="AB1629" i="1"/>
  <c r="E1629" i="1"/>
  <c r="D1629" i="1"/>
  <c r="C1629" i="1"/>
  <c r="B1629" i="1"/>
  <c r="K1627" i="1"/>
  <c r="H1627" i="1"/>
  <c r="G1627" i="1"/>
  <c r="E1627" i="1"/>
  <c r="E1626" i="1"/>
  <c r="E1625" i="1"/>
  <c r="J1624" i="1"/>
  <c r="I1624" i="1"/>
  <c r="H1624" i="1"/>
  <c r="G1624" i="1"/>
  <c r="F1624" i="1"/>
  <c r="C1623" i="1"/>
  <c r="AG1622" i="1"/>
  <c r="AF1622" i="1"/>
  <c r="AE1622" i="1"/>
  <c r="J1626" i="1" s="1"/>
  <c r="AD1622" i="1"/>
  <c r="AC1622" i="1"/>
  <c r="J1625" i="1" s="1"/>
  <c r="AB1622" i="1"/>
  <c r="E1622" i="1"/>
  <c r="D1622" i="1"/>
  <c r="C1622" i="1"/>
  <c r="B1622" i="1"/>
  <c r="K1620" i="1"/>
  <c r="H1620" i="1"/>
  <c r="G1620" i="1"/>
  <c r="E1620" i="1"/>
  <c r="E1619" i="1"/>
  <c r="E1618" i="1"/>
  <c r="J1617" i="1"/>
  <c r="I1617" i="1"/>
  <c r="H1617" i="1"/>
  <c r="G1617" i="1"/>
  <c r="F1617" i="1"/>
  <c r="C1616" i="1"/>
  <c r="AG1615" i="1"/>
  <c r="AF1615" i="1"/>
  <c r="AE1615" i="1"/>
  <c r="J1619" i="1" s="1"/>
  <c r="AD1615" i="1"/>
  <c r="AC1615" i="1"/>
  <c r="J1618" i="1" s="1"/>
  <c r="I1621" i="1" s="1"/>
  <c r="AB1615" i="1"/>
  <c r="E1615" i="1"/>
  <c r="D1615" i="1"/>
  <c r="C1615" i="1"/>
  <c r="B1615" i="1"/>
  <c r="K1613" i="1"/>
  <c r="H1613" i="1"/>
  <c r="G1613" i="1"/>
  <c r="E1613" i="1"/>
  <c r="E1612" i="1"/>
  <c r="E1611" i="1"/>
  <c r="J1610" i="1"/>
  <c r="I1610" i="1"/>
  <c r="H1610" i="1"/>
  <c r="G1610" i="1"/>
  <c r="F1610" i="1"/>
  <c r="C1609" i="1"/>
  <c r="AG1608" i="1"/>
  <c r="AF1608" i="1"/>
  <c r="AE1608" i="1"/>
  <c r="J1612" i="1" s="1"/>
  <c r="AD1608" i="1"/>
  <c r="AC1608" i="1"/>
  <c r="J1611" i="1" s="1"/>
  <c r="AB1608" i="1"/>
  <c r="E1608" i="1"/>
  <c r="D1608" i="1"/>
  <c r="C1608" i="1"/>
  <c r="B1608" i="1"/>
  <c r="K1606" i="1"/>
  <c r="H1606" i="1"/>
  <c r="G1606" i="1"/>
  <c r="E1606" i="1"/>
  <c r="E1605" i="1"/>
  <c r="E1604" i="1"/>
  <c r="J1603" i="1"/>
  <c r="I1603" i="1"/>
  <c r="H1603" i="1"/>
  <c r="G1603" i="1"/>
  <c r="F1603" i="1"/>
  <c r="C1602" i="1"/>
  <c r="AG1601" i="1"/>
  <c r="AF1601" i="1"/>
  <c r="AE1601" i="1"/>
  <c r="J1605" i="1" s="1"/>
  <c r="AD1601" i="1"/>
  <c r="AC1601" i="1"/>
  <c r="J1604" i="1" s="1"/>
  <c r="AB1601" i="1"/>
  <c r="E1601" i="1"/>
  <c r="D1601" i="1"/>
  <c r="C1601" i="1"/>
  <c r="B1601" i="1"/>
  <c r="K1599" i="1"/>
  <c r="H1599" i="1"/>
  <c r="G1599" i="1"/>
  <c r="E1599" i="1"/>
  <c r="E1598" i="1"/>
  <c r="E1597" i="1"/>
  <c r="J1596" i="1"/>
  <c r="I1596" i="1"/>
  <c r="H1596" i="1"/>
  <c r="G1596" i="1"/>
  <c r="F1596" i="1"/>
  <c r="C1595" i="1"/>
  <c r="AG1594" i="1"/>
  <c r="AF1594" i="1"/>
  <c r="AE1594" i="1"/>
  <c r="J1598" i="1" s="1"/>
  <c r="AD1594" i="1"/>
  <c r="AC1594" i="1"/>
  <c r="J1597" i="1" s="1"/>
  <c r="AB1594" i="1"/>
  <c r="E1594" i="1"/>
  <c r="D1594" i="1"/>
  <c r="C1594" i="1"/>
  <c r="B1594" i="1"/>
  <c r="K1592" i="1"/>
  <c r="H1592" i="1"/>
  <c r="G1592" i="1"/>
  <c r="E1592" i="1"/>
  <c r="E1591" i="1"/>
  <c r="E1590" i="1"/>
  <c r="J1589" i="1"/>
  <c r="I1589" i="1"/>
  <c r="H1589" i="1"/>
  <c r="G1589" i="1"/>
  <c r="F1589" i="1"/>
  <c r="C1588" i="1"/>
  <c r="AG1587" i="1"/>
  <c r="AF1587" i="1"/>
  <c r="AE1587" i="1"/>
  <c r="J1591" i="1" s="1"/>
  <c r="AD1587" i="1"/>
  <c r="AC1587" i="1"/>
  <c r="J1590" i="1" s="1"/>
  <c r="I1593" i="1" s="1"/>
  <c r="AB1587" i="1"/>
  <c r="E1587" i="1"/>
  <c r="D1587" i="1"/>
  <c r="C1587" i="1"/>
  <c r="B1587" i="1"/>
  <c r="K1585" i="1"/>
  <c r="H1585" i="1"/>
  <c r="G1585" i="1"/>
  <c r="E1585" i="1"/>
  <c r="E1584" i="1"/>
  <c r="E1583" i="1"/>
  <c r="J1582" i="1"/>
  <c r="I1582" i="1"/>
  <c r="H1582" i="1"/>
  <c r="G1582" i="1"/>
  <c r="F1582" i="1"/>
  <c r="C1581" i="1"/>
  <c r="AG1580" i="1"/>
  <c r="AF1580" i="1"/>
  <c r="AE1580" i="1"/>
  <c r="J1584" i="1" s="1"/>
  <c r="AD1580" i="1"/>
  <c r="AC1580" i="1"/>
  <c r="J1583" i="1" s="1"/>
  <c r="AB1580" i="1"/>
  <c r="E1580" i="1"/>
  <c r="D1580" i="1"/>
  <c r="C1580" i="1"/>
  <c r="B1580" i="1"/>
  <c r="K1578" i="1"/>
  <c r="H1578" i="1"/>
  <c r="G1578" i="1"/>
  <c r="E1578" i="1"/>
  <c r="E1577" i="1"/>
  <c r="E1576" i="1"/>
  <c r="J1575" i="1"/>
  <c r="I1575" i="1"/>
  <c r="H1575" i="1"/>
  <c r="G1575" i="1"/>
  <c r="F1575" i="1"/>
  <c r="C1574" i="1"/>
  <c r="AG1573" i="1"/>
  <c r="AF1573" i="1"/>
  <c r="AE1573" i="1"/>
  <c r="J1577" i="1" s="1"/>
  <c r="AD1573" i="1"/>
  <c r="AC1573" i="1"/>
  <c r="J1576" i="1" s="1"/>
  <c r="AB1573" i="1"/>
  <c r="E1573" i="1"/>
  <c r="D1573" i="1"/>
  <c r="C1573" i="1"/>
  <c r="B1573" i="1"/>
  <c r="K1571" i="1"/>
  <c r="H1571" i="1"/>
  <c r="G1571" i="1"/>
  <c r="E1571" i="1"/>
  <c r="E1570" i="1"/>
  <c r="E1569" i="1"/>
  <c r="J1568" i="1"/>
  <c r="I1568" i="1"/>
  <c r="H1568" i="1"/>
  <c r="G1568" i="1"/>
  <c r="F1568" i="1"/>
  <c r="C1567" i="1"/>
  <c r="AG1566" i="1"/>
  <c r="AF1566" i="1"/>
  <c r="AE1566" i="1"/>
  <c r="J1570" i="1" s="1"/>
  <c r="AD1566" i="1"/>
  <c r="AC1566" i="1"/>
  <c r="J1569" i="1" s="1"/>
  <c r="AB1566" i="1"/>
  <c r="E1566" i="1"/>
  <c r="D1566" i="1"/>
  <c r="C1566" i="1"/>
  <c r="B1566" i="1"/>
  <c r="K1564" i="1"/>
  <c r="H1564" i="1"/>
  <c r="G1564" i="1"/>
  <c r="E1564" i="1"/>
  <c r="E1563" i="1"/>
  <c r="E1562" i="1"/>
  <c r="J1561" i="1"/>
  <c r="I1561" i="1"/>
  <c r="H1561" i="1"/>
  <c r="G1561" i="1"/>
  <c r="F1561" i="1"/>
  <c r="C1560" i="1"/>
  <c r="AG1559" i="1"/>
  <c r="AF1559" i="1"/>
  <c r="AE1559" i="1"/>
  <c r="J1563" i="1" s="1"/>
  <c r="AD1559" i="1"/>
  <c r="AC1559" i="1"/>
  <c r="J1562" i="1" s="1"/>
  <c r="I1565" i="1" s="1"/>
  <c r="AB1559" i="1"/>
  <c r="E1559" i="1"/>
  <c r="D1559" i="1"/>
  <c r="C1559" i="1"/>
  <c r="B1559" i="1"/>
  <c r="K1557" i="1"/>
  <c r="H1557" i="1"/>
  <c r="G1557" i="1"/>
  <c r="E1557" i="1"/>
  <c r="E1556" i="1"/>
  <c r="E1555" i="1"/>
  <c r="J1554" i="1"/>
  <c r="I1554" i="1"/>
  <c r="H1554" i="1"/>
  <c r="G1554" i="1"/>
  <c r="F1554" i="1"/>
  <c r="C1553" i="1"/>
  <c r="AG1552" i="1"/>
  <c r="AF1552" i="1"/>
  <c r="AE1552" i="1"/>
  <c r="J1556" i="1" s="1"/>
  <c r="AD1552" i="1"/>
  <c r="AC1552" i="1"/>
  <c r="J1555" i="1" s="1"/>
  <c r="AB1552" i="1"/>
  <c r="E1552" i="1"/>
  <c r="D1552" i="1"/>
  <c r="C1552" i="1"/>
  <c r="B1552" i="1"/>
  <c r="K1550" i="1"/>
  <c r="H1550" i="1"/>
  <c r="G1550" i="1"/>
  <c r="E1550" i="1"/>
  <c r="E1549" i="1"/>
  <c r="E1548" i="1"/>
  <c r="J1547" i="1"/>
  <c r="I1547" i="1"/>
  <c r="H1547" i="1"/>
  <c r="G1547" i="1"/>
  <c r="F1547" i="1"/>
  <c r="C1546" i="1"/>
  <c r="AG1545" i="1"/>
  <c r="AF1545" i="1"/>
  <c r="AE1545" i="1"/>
  <c r="J1549" i="1" s="1"/>
  <c r="AD1545" i="1"/>
  <c r="AC1545" i="1"/>
  <c r="J1548" i="1" s="1"/>
  <c r="AB1545" i="1"/>
  <c r="E1545" i="1"/>
  <c r="D1545" i="1"/>
  <c r="C1545" i="1"/>
  <c r="B1545" i="1"/>
  <c r="K1543" i="1"/>
  <c r="H1543" i="1"/>
  <c r="G1543" i="1"/>
  <c r="E1543" i="1"/>
  <c r="E1542" i="1"/>
  <c r="E1541" i="1"/>
  <c r="J1540" i="1"/>
  <c r="I1540" i="1"/>
  <c r="H1540" i="1"/>
  <c r="G1540" i="1"/>
  <c r="F1540" i="1"/>
  <c r="C1539" i="1"/>
  <c r="AG1538" i="1"/>
  <c r="AF1538" i="1"/>
  <c r="AE1538" i="1"/>
  <c r="J1542" i="1" s="1"/>
  <c r="AD1538" i="1"/>
  <c r="AC1538" i="1"/>
  <c r="J1541" i="1" s="1"/>
  <c r="AB1538" i="1"/>
  <c r="E1538" i="1"/>
  <c r="D1538" i="1"/>
  <c r="C1538" i="1"/>
  <c r="B1538" i="1"/>
  <c r="K1536" i="1"/>
  <c r="H1536" i="1"/>
  <c r="G1536" i="1"/>
  <c r="E1536" i="1"/>
  <c r="E1535" i="1"/>
  <c r="E1534" i="1"/>
  <c r="J1533" i="1"/>
  <c r="I1533" i="1"/>
  <c r="H1533" i="1"/>
  <c r="G1533" i="1"/>
  <c r="F1533" i="1"/>
  <c r="C1532" i="1"/>
  <c r="AG1531" i="1"/>
  <c r="AF1531" i="1"/>
  <c r="AE1531" i="1"/>
  <c r="J1535" i="1" s="1"/>
  <c r="AD1531" i="1"/>
  <c r="AC1531" i="1"/>
  <c r="J1534" i="1" s="1"/>
  <c r="I1537" i="1" s="1"/>
  <c r="AB1531" i="1"/>
  <c r="E1531" i="1"/>
  <c r="D1531" i="1"/>
  <c r="C1531" i="1"/>
  <c r="B1531" i="1"/>
  <c r="K1529" i="1"/>
  <c r="H1529" i="1"/>
  <c r="G1529" i="1"/>
  <c r="E1529" i="1"/>
  <c r="E1528" i="1"/>
  <c r="E1527" i="1"/>
  <c r="J1526" i="1"/>
  <c r="I1526" i="1"/>
  <c r="H1526" i="1"/>
  <c r="G1526" i="1"/>
  <c r="F1526" i="1"/>
  <c r="C1525" i="1"/>
  <c r="AG1524" i="1"/>
  <c r="AF1524" i="1"/>
  <c r="AE1524" i="1"/>
  <c r="J1528" i="1" s="1"/>
  <c r="AD1524" i="1"/>
  <c r="AC1524" i="1"/>
  <c r="J1527" i="1" s="1"/>
  <c r="AB1524" i="1"/>
  <c r="E1524" i="1"/>
  <c r="D1524" i="1"/>
  <c r="C1524" i="1"/>
  <c r="B1524" i="1"/>
  <c r="K1522" i="1"/>
  <c r="H1522" i="1"/>
  <c r="G1522" i="1"/>
  <c r="E1522" i="1"/>
  <c r="E1521" i="1"/>
  <c r="E1520" i="1"/>
  <c r="J1519" i="1"/>
  <c r="I1519" i="1"/>
  <c r="H1519" i="1"/>
  <c r="G1519" i="1"/>
  <c r="F1519" i="1"/>
  <c r="C1518" i="1"/>
  <c r="AG1517" i="1"/>
  <c r="AF1517" i="1"/>
  <c r="AE1517" i="1"/>
  <c r="J1521" i="1" s="1"/>
  <c r="AD1517" i="1"/>
  <c r="AC1517" i="1"/>
  <c r="J1520" i="1" s="1"/>
  <c r="AB1517" i="1"/>
  <c r="E1517" i="1"/>
  <c r="D1517" i="1"/>
  <c r="C1517" i="1"/>
  <c r="B1517" i="1"/>
  <c r="K1515" i="1"/>
  <c r="H1515" i="1"/>
  <c r="G1515" i="1"/>
  <c r="E1515" i="1"/>
  <c r="E1514" i="1"/>
  <c r="E1513" i="1"/>
  <c r="J1512" i="1"/>
  <c r="I1512" i="1"/>
  <c r="H1512" i="1"/>
  <c r="G1512" i="1"/>
  <c r="F1512" i="1"/>
  <c r="C1511" i="1"/>
  <c r="AG1510" i="1"/>
  <c r="AF1510" i="1"/>
  <c r="AE1510" i="1"/>
  <c r="J1514" i="1" s="1"/>
  <c r="AD1510" i="1"/>
  <c r="AC1510" i="1"/>
  <c r="J1513" i="1" s="1"/>
  <c r="AB1510" i="1"/>
  <c r="E1510" i="1"/>
  <c r="D1510" i="1"/>
  <c r="C1510" i="1"/>
  <c r="B1510" i="1"/>
  <c r="K1508" i="1"/>
  <c r="H1508" i="1"/>
  <c r="G1508" i="1"/>
  <c r="E1508" i="1"/>
  <c r="E1507" i="1"/>
  <c r="E1506" i="1"/>
  <c r="J1505" i="1"/>
  <c r="I1505" i="1"/>
  <c r="H1505" i="1"/>
  <c r="G1505" i="1"/>
  <c r="F1505" i="1"/>
  <c r="C1504" i="1"/>
  <c r="AG1503" i="1"/>
  <c r="AF1503" i="1"/>
  <c r="AE1503" i="1"/>
  <c r="J1507" i="1" s="1"/>
  <c r="AD1503" i="1"/>
  <c r="AC1503" i="1"/>
  <c r="J1506" i="1" s="1"/>
  <c r="I1509" i="1" s="1"/>
  <c r="AB1503" i="1"/>
  <c r="E1503" i="1"/>
  <c r="D1503" i="1"/>
  <c r="C1503" i="1"/>
  <c r="B1503" i="1"/>
  <c r="K1501" i="1"/>
  <c r="H1501" i="1"/>
  <c r="G1501" i="1"/>
  <c r="E1501" i="1"/>
  <c r="E1500" i="1"/>
  <c r="E1499" i="1"/>
  <c r="J1498" i="1"/>
  <c r="I1498" i="1"/>
  <c r="H1498" i="1"/>
  <c r="G1498" i="1"/>
  <c r="F1498" i="1"/>
  <c r="C1497" i="1"/>
  <c r="AG1496" i="1"/>
  <c r="AF1496" i="1"/>
  <c r="AE1496" i="1"/>
  <c r="J1500" i="1" s="1"/>
  <c r="AD1496" i="1"/>
  <c r="AC1496" i="1"/>
  <c r="J1499" i="1" s="1"/>
  <c r="AB1496" i="1"/>
  <c r="E1496" i="1"/>
  <c r="D1496" i="1"/>
  <c r="C1496" i="1"/>
  <c r="B1496" i="1"/>
  <c r="K1494" i="1"/>
  <c r="H1494" i="1"/>
  <c r="G1494" i="1"/>
  <c r="E1494" i="1"/>
  <c r="E1493" i="1"/>
  <c r="E1492" i="1"/>
  <c r="J1491" i="1"/>
  <c r="I1491" i="1"/>
  <c r="H1491" i="1"/>
  <c r="G1491" i="1"/>
  <c r="F1491" i="1"/>
  <c r="C1490" i="1"/>
  <c r="AG1489" i="1"/>
  <c r="AF1489" i="1"/>
  <c r="AE1489" i="1"/>
  <c r="J1493" i="1" s="1"/>
  <c r="AD1489" i="1"/>
  <c r="AC1489" i="1"/>
  <c r="J1492" i="1" s="1"/>
  <c r="AB1489" i="1"/>
  <c r="E1489" i="1"/>
  <c r="D1489" i="1"/>
  <c r="C1489" i="1"/>
  <c r="B1489" i="1"/>
  <c r="K1487" i="1"/>
  <c r="H1487" i="1"/>
  <c r="G1487" i="1"/>
  <c r="E1487" i="1"/>
  <c r="E1486" i="1"/>
  <c r="E1485" i="1"/>
  <c r="J1484" i="1"/>
  <c r="I1484" i="1"/>
  <c r="H1484" i="1"/>
  <c r="G1484" i="1"/>
  <c r="F1484" i="1"/>
  <c r="C1483" i="1"/>
  <c r="AG1482" i="1"/>
  <c r="AF1482" i="1"/>
  <c r="AE1482" i="1"/>
  <c r="J1486" i="1" s="1"/>
  <c r="AD1482" i="1"/>
  <c r="AC1482" i="1"/>
  <c r="J1485" i="1" s="1"/>
  <c r="AB1482" i="1"/>
  <c r="E1482" i="1"/>
  <c r="D1482" i="1"/>
  <c r="C1482" i="1"/>
  <c r="B1482" i="1"/>
  <c r="K1480" i="1"/>
  <c r="H1480" i="1"/>
  <c r="G1480" i="1"/>
  <c r="E1480" i="1"/>
  <c r="E1479" i="1"/>
  <c r="E1478" i="1"/>
  <c r="J1477" i="1"/>
  <c r="I1477" i="1"/>
  <c r="H1477" i="1"/>
  <c r="G1477" i="1"/>
  <c r="F1477" i="1"/>
  <c r="C1476" i="1"/>
  <c r="AG1475" i="1"/>
  <c r="AF1475" i="1"/>
  <c r="AE1475" i="1"/>
  <c r="J1479" i="1" s="1"/>
  <c r="AD1475" i="1"/>
  <c r="AC1475" i="1"/>
  <c r="J1478" i="1" s="1"/>
  <c r="I1481" i="1" s="1"/>
  <c r="AB1475" i="1"/>
  <c r="E1475" i="1"/>
  <c r="D1475" i="1"/>
  <c r="C1475" i="1"/>
  <c r="B1475" i="1"/>
  <c r="K1473" i="1"/>
  <c r="H1473" i="1"/>
  <c r="G1473" i="1"/>
  <c r="E1473" i="1"/>
  <c r="E1472" i="1"/>
  <c r="E1471" i="1"/>
  <c r="J1470" i="1"/>
  <c r="I1470" i="1"/>
  <c r="H1470" i="1"/>
  <c r="G1470" i="1"/>
  <c r="F1470" i="1"/>
  <c r="C1469" i="1"/>
  <c r="AG1468" i="1"/>
  <c r="AF1468" i="1"/>
  <c r="AE1468" i="1"/>
  <c r="J1472" i="1" s="1"/>
  <c r="AD1468" i="1"/>
  <c r="AC1468" i="1"/>
  <c r="J1471" i="1" s="1"/>
  <c r="AB1468" i="1"/>
  <c r="E1468" i="1"/>
  <c r="D1468" i="1"/>
  <c r="C1468" i="1"/>
  <c r="B1468" i="1"/>
  <c r="K1466" i="1"/>
  <c r="H1466" i="1"/>
  <c r="G1466" i="1"/>
  <c r="E1466" i="1"/>
  <c r="E1465" i="1"/>
  <c r="E1464" i="1"/>
  <c r="J1463" i="1"/>
  <c r="I1463" i="1"/>
  <c r="H1463" i="1"/>
  <c r="G1463" i="1"/>
  <c r="F1463" i="1"/>
  <c r="C1462" i="1"/>
  <c r="AG1461" i="1"/>
  <c r="AF1461" i="1"/>
  <c r="AE1461" i="1"/>
  <c r="J1465" i="1" s="1"/>
  <c r="AD1461" i="1"/>
  <c r="AC1461" i="1"/>
  <c r="J1464" i="1" s="1"/>
  <c r="AB1461" i="1"/>
  <c r="E1461" i="1"/>
  <c r="D1461" i="1"/>
  <c r="C1461" i="1"/>
  <c r="B1461" i="1"/>
  <c r="K1459" i="1"/>
  <c r="H1459" i="1"/>
  <c r="G1459" i="1"/>
  <c r="E1459" i="1"/>
  <c r="E1458" i="1"/>
  <c r="E1457" i="1"/>
  <c r="J1456" i="1"/>
  <c r="I1456" i="1"/>
  <c r="H1456" i="1"/>
  <c r="G1456" i="1"/>
  <c r="F1456" i="1"/>
  <c r="C1455" i="1"/>
  <c r="AG1454" i="1"/>
  <c r="AF1454" i="1"/>
  <c r="AE1454" i="1"/>
  <c r="J1458" i="1" s="1"/>
  <c r="AD1454" i="1"/>
  <c r="AC1454" i="1"/>
  <c r="J1457" i="1" s="1"/>
  <c r="AB1454" i="1"/>
  <c r="E1454" i="1"/>
  <c r="D1454" i="1"/>
  <c r="C1454" i="1"/>
  <c r="B1454" i="1"/>
  <c r="K1452" i="1"/>
  <c r="H1452" i="1"/>
  <c r="G1452" i="1"/>
  <c r="E1452" i="1"/>
  <c r="E1451" i="1"/>
  <c r="E1450" i="1"/>
  <c r="J1449" i="1"/>
  <c r="I1449" i="1"/>
  <c r="H1449" i="1"/>
  <c r="G1449" i="1"/>
  <c r="F1449" i="1"/>
  <c r="C1448" i="1"/>
  <c r="AG1447" i="1"/>
  <c r="AF1447" i="1"/>
  <c r="AE1447" i="1"/>
  <c r="J1451" i="1" s="1"/>
  <c r="AD1447" i="1"/>
  <c r="AC1447" i="1"/>
  <c r="J1450" i="1" s="1"/>
  <c r="I1453" i="1" s="1"/>
  <c r="AB1447" i="1"/>
  <c r="E1447" i="1"/>
  <c r="D1447" i="1"/>
  <c r="C1447" i="1"/>
  <c r="B1447" i="1"/>
  <c r="K1445" i="1"/>
  <c r="H1445" i="1"/>
  <c r="G1445" i="1"/>
  <c r="E1445" i="1"/>
  <c r="E1444" i="1"/>
  <c r="E1443" i="1"/>
  <c r="J1442" i="1"/>
  <c r="I1442" i="1"/>
  <c r="H1442" i="1"/>
  <c r="G1442" i="1"/>
  <c r="F1442" i="1"/>
  <c r="C1441" i="1"/>
  <c r="AG1440" i="1"/>
  <c r="AF1440" i="1"/>
  <c r="AE1440" i="1"/>
  <c r="J1444" i="1" s="1"/>
  <c r="AD1440" i="1"/>
  <c r="AC1440" i="1"/>
  <c r="J1443" i="1" s="1"/>
  <c r="AB1440" i="1"/>
  <c r="E1440" i="1"/>
  <c r="D1440" i="1"/>
  <c r="C1440" i="1"/>
  <c r="B1440" i="1"/>
  <c r="K1438" i="1"/>
  <c r="H1438" i="1"/>
  <c r="G1438" i="1"/>
  <c r="E1438" i="1"/>
  <c r="E1437" i="1"/>
  <c r="E1436" i="1"/>
  <c r="J1435" i="1"/>
  <c r="I1435" i="1"/>
  <c r="H1435" i="1"/>
  <c r="G1435" i="1"/>
  <c r="F1435" i="1"/>
  <c r="C1434" i="1"/>
  <c r="AG1433" i="1"/>
  <c r="AF1433" i="1"/>
  <c r="AE1433" i="1"/>
  <c r="J1437" i="1" s="1"/>
  <c r="AD1433" i="1"/>
  <c r="AC1433" i="1"/>
  <c r="J1436" i="1" s="1"/>
  <c r="AB1433" i="1"/>
  <c r="E1433" i="1"/>
  <c r="D1433" i="1"/>
  <c r="C1433" i="1"/>
  <c r="B1433" i="1"/>
  <c r="K1431" i="1"/>
  <c r="H1431" i="1"/>
  <c r="G1431" i="1"/>
  <c r="E1431" i="1"/>
  <c r="E1430" i="1"/>
  <c r="E1429" i="1"/>
  <c r="J1428" i="1"/>
  <c r="I1428" i="1"/>
  <c r="H1428" i="1"/>
  <c r="G1428" i="1"/>
  <c r="F1428" i="1"/>
  <c r="C1427" i="1"/>
  <c r="AG1426" i="1"/>
  <c r="AF1426" i="1"/>
  <c r="AE1426" i="1"/>
  <c r="J1430" i="1" s="1"/>
  <c r="AD1426" i="1"/>
  <c r="AC1426" i="1"/>
  <c r="J1429" i="1" s="1"/>
  <c r="AB1426" i="1"/>
  <c r="E1426" i="1"/>
  <c r="D1426" i="1"/>
  <c r="C1426" i="1"/>
  <c r="B1426" i="1"/>
  <c r="K1424" i="1"/>
  <c r="H1424" i="1"/>
  <c r="G1424" i="1"/>
  <c r="E1424" i="1"/>
  <c r="E1423" i="1"/>
  <c r="E1422" i="1"/>
  <c r="J1421" i="1"/>
  <c r="I1421" i="1"/>
  <c r="H1421" i="1"/>
  <c r="G1421" i="1"/>
  <c r="F1421" i="1"/>
  <c r="C1420" i="1"/>
  <c r="AG1419" i="1"/>
  <c r="AF1419" i="1"/>
  <c r="AE1419" i="1"/>
  <c r="J1423" i="1" s="1"/>
  <c r="AD1419" i="1"/>
  <c r="AC1419" i="1"/>
  <c r="J1422" i="1" s="1"/>
  <c r="I1425" i="1" s="1"/>
  <c r="AB1419" i="1"/>
  <c r="E1419" i="1"/>
  <c r="D1419" i="1"/>
  <c r="C1419" i="1"/>
  <c r="B1419" i="1"/>
  <c r="K1417" i="1"/>
  <c r="H1417" i="1"/>
  <c r="G1417" i="1"/>
  <c r="E1417" i="1"/>
  <c r="E1416" i="1"/>
  <c r="E1415" i="1"/>
  <c r="J1414" i="1"/>
  <c r="I1414" i="1"/>
  <c r="H1414" i="1"/>
  <c r="G1414" i="1"/>
  <c r="F1414" i="1"/>
  <c r="C1413" i="1"/>
  <c r="AG1412" i="1"/>
  <c r="AF1412" i="1"/>
  <c r="AE1412" i="1"/>
  <c r="J1416" i="1" s="1"/>
  <c r="AD1412" i="1"/>
  <c r="AC1412" i="1"/>
  <c r="J1415" i="1" s="1"/>
  <c r="AB1412" i="1"/>
  <c r="E1412" i="1"/>
  <c r="D1412" i="1"/>
  <c r="C1412" i="1"/>
  <c r="B1412" i="1"/>
  <c r="K1410" i="1"/>
  <c r="H1410" i="1"/>
  <c r="G1410" i="1"/>
  <c r="E1410" i="1"/>
  <c r="E1409" i="1"/>
  <c r="E1408" i="1"/>
  <c r="J1407" i="1"/>
  <c r="I1407" i="1"/>
  <c r="H1407" i="1"/>
  <c r="G1407" i="1"/>
  <c r="F1407" i="1"/>
  <c r="C1406" i="1"/>
  <c r="AG1405" i="1"/>
  <c r="AF1405" i="1"/>
  <c r="AE1405" i="1"/>
  <c r="J1409" i="1" s="1"/>
  <c r="AD1405" i="1"/>
  <c r="AC1405" i="1"/>
  <c r="J1408" i="1" s="1"/>
  <c r="AB1405" i="1"/>
  <c r="E1405" i="1"/>
  <c r="D1405" i="1"/>
  <c r="C1405" i="1"/>
  <c r="B1405" i="1"/>
  <c r="K1403" i="1"/>
  <c r="H1403" i="1"/>
  <c r="G1403" i="1"/>
  <c r="E1403" i="1"/>
  <c r="E1402" i="1"/>
  <c r="E1401" i="1"/>
  <c r="J1400" i="1"/>
  <c r="I1400" i="1"/>
  <c r="H1400" i="1"/>
  <c r="G1400" i="1"/>
  <c r="F1400" i="1"/>
  <c r="C1399" i="1"/>
  <c r="AG1398" i="1"/>
  <c r="AF1398" i="1"/>
  <c r="AE1398" i="1"/>
  <c r="J1402" i="1" s="1"/>
  <c r="AD1398" i="1"/>
  <c r="AC1398" i="1"/>
  <c r="J1401" i="1" s="1"/>
  <c r="AB1398" i="1"/>
  <c r="E1398" i="1"/>
  <c r="D1398" i="1"/>
  <c r="C1398" i="1"/>
  <c r="B1398" i="1"/>
  <c r="K1396" i="1"/>
  <c r="H1396" i="1"/>
  <c r="G1396" i="1"/>
  <c r="E1396" i="1"/>
  <c r="E1395" i="1"/>
  <c r="E1394" i="1"/>
  <c r="J1393" i="1"/>
  <c r="I1393" i="1"/>
  <c r="H1393" i="1"/>
  <c r="G1393" i="1"/>
  <c r="F1393" i="1"/>
  <c r="C1392" i="1"/>
  <c r="AG1391" i="1"/>
  <c r="AF1391" i="1"/>
  <c r="AE1391" i="1"/>
  <c r="J1395" i="1" s="1"/>
  <c r="AD1391" i="1"/>
  <c r="AC1391" i="1"/>
  <c r="J1394" i="1" s="1"/>
  <c r="I1397" i="1" s="1"/>
  <c r="AB1391" i="1"/>
  <c r="E1391" i="1"/>
  <c r="D1391" i="1"/>
  <c r="C1391" i="1"/>
  <c r="B1391" i="1"/>
  <c r="I1390" i="1"/>
  <c r="K1389" i="1"/>
  <c r="H1389" i="1"/>
  <c r="G1389" i="1"/>
  <c r="E1389" i="1"/>
  <c r="E1388" i="1"/>
  <c r="E1387" i="1"/>
  <c r="J1386" i="1"/>
  <c r="I1386" i="1"/>
  <c r="H1386" i="1"/>
  <c r="G1386" i="1"/>
  <c r="F1386" i="1"/>
  <c r="C1385" i="1"/>
  <c r="AG1384" i="1"/>
  <c r="AF1384" i="1"/>
  <c r="AE1384" i="1"/>
  <c r="J1388" i="1" s="1"/>
  <c r="AD1384" i="1"/>
  <c r="AC1384" i="1"/>
  <c r="J1387" i="1" s="1"/>
  <c r="AB1384" i="1"/>
  <c r="E1384" i="1"/>
  <c r="D1384" i="1"/>
  <c r="C1384" i="1"/>
  <c r="B1384" i="1"/>
  <c r="K1382" i="1"/>
  <c r="H1382" i="1"/>
  <c r="G1382" i="1"/>
  <c r="E1382" i="1"/>
  <c r="E1381" i="1"/>
  <c r="E1380" i="1"/>
  <c r="J1379" i="1"/>
  <c r="I1379" i="1"/>
  <c r="H1379" i="1"/>
  <c r="G1379" i="1"/>
  <c r="F1379" i="1"/>
  <c r="C1378" i="1"/>
  <c r="AG1377" i="1"/>
  <c r="AF1377" i="1"/>
  <c r="AE1377" i="1"/>
  <c r="J1381" i="1" s="1"/>
  <c r="AD1377" i="1"/>
  <c r="AC1377" i="1"/>
  <c r="J1380" i="1" s="1"/>
  <c r="AB1377" i="1"/>
  <c r="E1377" i="1"/>
  <c r="D1377" i="1"/>
  <c r="C1377" i="1"/>
  <c r="B1377" i="1"/>
  <c r="K1375" i="1"/>
  <c r="H1375" i="1"/>
  <c r="G1375" i="1"/>
  <c r="E1375" i="1"/>
  <c r="E1374" i="1"/>
  <c r="E1373" i="1"/>
  <c r="J1372" i="1"/>
  <c r="I1372" i="1"/>
  <c r="H1372" i="1"/>
  <c r="G1372" i="1"/>
  <c r="F1372" i="1"/>
  <c r="C1371" i="1"/>
  <c r="AG1370" i="1"/>
  <c r="AF1370" i="1"/>
  <c r="AE1370" i="1"/>
  <c r="J1374" i="1" s="1"/>
  <c r="AD1370" i="1"/>
  <c r="AC1370" i="1"/>
  <c r="J1373" i="1" s="1"/>
  <c r="AB1370" i="1"/>
  <c r="E1370" i="1"/>
  <c r="D1370" i="1"/>
  <c r="C1370" i="1"/>
  <c r="B1370" i="1"/>
  <c r="K1368" i="1"/>
  <c r="H1368" i="1"/>
  <c r="G1368" i="1"/>
  <c r="E1368" i="1"/>
  <c r="E1367" i="1"/>
  <c r="E1366" i="1"/>
  <c r="J1365" i="1"/>
  <c r="I1365" i="1"/>
  <c r="H1365" i="1"/>
  <c r="G1365" i="1"/>
  <c r="F1365" i="1"/>
  <c r="C1364" i="1"/>
  <c r="AG1363" i="1"/>
  <c r="AF1363" i="1"/>
  <c r="AE1363" i="1"/>
  <c r="J1367" i="1" s="1"/>
  <c r="AD1363" i="1"/>
  <c r="AC1363" i="1"/>
  <c r="J1366" i="1" s="1"/>
  <c r="I1369" i="1" s="1"/>
  <c r="AB1363" i="1"/>
  <c r="E1363" i="1"/>
  <c r="D1363" i="1"/>
  <c r="C1363" i="1"/>
  <c r="B1363" i="1"/>
  <c r="K1361" i="1"/>
  <c r="H1361" i="1"/>
  <c r="G1361" i="1"/>
  <c r="E1361" i="1"/>
  <c r="E1360" i="1"/>
  <c r="E1359" i="1"/>
  <c r="J1358" i="1"/>
  <c r="I1358" i="1"/>
  <c r="H1358" i="1"/>
  <c r="G1358" i="1"/>
  <c r="F1358" i="1"/>
  <c r="C1357" i="1"/>
  <c r="AG1356" i="1"/>
  <c r="AF1356" i="1"/>
  <c r="AE1356" i="1"/>
  <c r="J1360" i="1" s="1"/>
  <c r="I1362" i="1" s="1"/>
  <c r="AD1356" i="1"/>
  <c r="AC1356" i="1"/>
  <c r="J1359" i="1" s="1"/>
  <c r="AB1356" i="1"/>
  <c r="E1356" i="1"/>
  <c r="D1356" i="1"/>
  <c r="C1356" i="1"/>
  <c r="B1356" i="1"/>
  <c r="K1354" i="1"/>
  <c r="H1354" i="1"/>
  <c r="G1354" i="1"/>
  <c r="E1354" i="1"/>
  <c r="J1353" i="1"/>
  <c r="E1353" i="1"/>
  <c r="E1352" i="1"/>
  <c r="J1351" i="1"/>
  <c r="I1351" i="1"/>
  <c r="H1351" i="1"/>
  <c r="G1351" i="1"/>
  <c r="F1351" i="1"/>
  <c r="C1350" i="1"/>
  <c r="AG1349" i="1"/>
  <c r="AF1349" i="1"/>
  <c r="AE1349" i="1"/>
  <c r="AD1349" i="1"/>
  <c r="AC1349" i="1"/>
  <c r="J1352" i="1" s="1"/>
  <c r="AB1349" i="1"/>
  <c r="E1349" i="1"/>
  <c r="D1349" i="1"/>
  <c r="C1349" i="1"/>
  <c r="B1349" i="1"/>
  <c r="K1347" i="1"/>
  <c r="H1347" i="1"/>
  <c r="G1347" i="1"/>
  <c r="E1347" i="1"/>
  <c r="E1346" i="1"/>
  <c r="E1345" i="1"/>
  <c r="J1344" i="1"/>
  <c r="I1344" i="1"/>
  <c r="H1344" i="1"/>
  <c r="G1344" i="1"/>
  <c r="F1344" i="1"/>
  <c r="C1343" i="1"/>
  <c r="AG1342" i="1"/>
  <c r="AF1342" i="1"/>
  <c r="AE1342" i="1"/>
  <c r="J1346" i="1" s="1"/>
  <c r="AD1342" i="1"/>
  <c r="AC1342" i="1"/>
  <c r="J1345" i="1" s="1"/>
  <c r="I1348" i="1" s="1"/>
  <c r="K1348" i="1" s="1"/>
  <c r="AB1342" i="1"/>
  <c r="E1342" i="1"/>
  <c r="D1342" i="1"/>
  <c r="C1342" i="1"/>
  <c r="B1342" i="1"/>
  <c r="K1340" i="1"/>
  <c r="H1340" i="1"/>
  <c r="G1340" i="1"/>
  <c r="E1340" i="1"/>
  <c r="E1339" i="1"/>
  <c r="E1338" i="1"/>
  <c r="J1337" i="1"/>
  <c r="I1337" i="1"/>
  <c r="H1337" i="1"/>
  <c r="G1337" i="1"/>
  <c r="F1337" i="1"/>
  <c r="C1336" i="1"/>
  <c r="AG1335" i="1"/>
  <c r="AF1335" i="1"/>
  <c r="AE1335" i="1"/>
  <c r="J1339" i="1" s="1"/>
  <c r="AD1335" i="1"/>
  <c r="AC1335" i="1"/>
  <c r="J1338" i="1" s="1"/>
  <c r="I1341" i="1" s="1"/>
  <c r="AB1335" i="1"/>
  <c r="E1335" i="1"/>
  <c r="D1335" i="1"/>
  <c r="C1335" i="1"/>
  <c r="B1335" i="1"/>
  <c r="K1333" i="1"/>
  <c r="H1333" i="1"/>
  <c r="G1333" i="1"/>
  <c r="E1333" i="1"/>
  <c r="E1332" i="1"/>
  <c r="E1331" i="1"/>
  <c r="J1330" i="1"/>
  <c r="I1330" i="1"/>
  <c r="H1330" i="1"/>
  <c r="G1330" i="1"/>
  <c r="F1330" i="1"/>
  <c r="C1329" i="1"/>
  <c r="AG1328" i="1"/>
  <c r="AF1328" i="1"/>
  <c r="AE1328" i="1"/>
  <c r="J1332" i="1" s="1"/>
  <c r="I1334" i="1" s="1"/>
  <c r="AD1328" i="1"/>
  <c r="AC1328" i="1"/>
  <c r="J1331" i="1" s="1"/>
  <c r="AB1328" i="1"/>
  <c r="E1328" i="1"/>
  <c r="D1328" i="1"/>
  <c r="C1328" i="1"/>
  <c r="B1328" i="1"/>
  <c r="K1326" i="1"/>
  <c r="H1326" i="1"/>
  <c r="G1326" i="1"/>
  <c r="E1326" i="1"/>
  <c r="E1325" i="1"/>
  <c r="E1324" i="1"/>
  <c r="J1323" i="1"/>
  <c r="I1323" i="1"/>
  <c r="H1323" i="1"/>
  <c r="G1323" i="1"/>
  <c r="F1323" i="1"/>
  <c r="C1322" i="1"/>
  <c r="AG1321" i="1"/>
  <c r="AF1321" i="1"/>
  <c r="AE1321" i="1"/>
  <c r="J1325" i="1" s="1"/>
  <c r="AD1321" i="1"/>
  <c r="AC1321" i="1"/>
  <c r="J1324" i="1" s="1"/>
  <c r="AB1321" i="1"/>
  <c r="E1321" i="1"/>
  <c r="D1321" i="1"/>
  <c r="C1321" i="1"/>
  <c r="B1321" i="1"/>
  <c r="AA1320" i="1"/>
  <c r="K1319" i="1"/>
  <c r="H1319" i="1"/>
  <c r="G1319" i="1"/>
  <c r="E1319" i="1"/>
  <c r="E1318" i="1"/>
  <c r="E1317" i="1"/>
  <c r="J1316" i="1"/>
  <c r="I1316" i="1"/>
  <c r="H1316" i="1"/>
  <c r="G1316" i="1"/>
  <c r="F1316" i="1"/>
  <c r="C1315" i="1"/>
  <c r="AG1314" i="1"/>
  <c r="AF1314" i="1"/>
  <c r="AE1314" i="1"/>
  <c r="J1318" i="1" s="1"/>
  <c r="AD1314" i="1"/>
  <c r="AC1314" i="1"/>
  <c r="J1317" i="1" s="1"/>
  <c r="I1320" i="1" s="1"/>
  <c r="K1320" i="1" s="1"/>
  <c r="AB1314" i="1"/>
  <c r="E1314" i="1"/>
  <c r="D1314" i="1"/>
  <c r="C1314" i="1"/>
  <c r="B1314" i="1"/>
  <c r="K1312" i="1"/>
  <c r="H1312" i="1"/>
  <c r="G1312" i="1"/>
  <c r="E1312" i="1"/>
  <c r="E1311" i="1"/>
  <c r="E1310" i="1"/>
  <c r="J1309" i="1"/>
  <c r="I1309" i="1"/>
  <c r="H1309" i="1"/>
  <c r="G1309" i="1"/>
  <c r="F1309" i="1"/>
  <c r="C1308" i="1"/>
  <c r="AG1307" i="1"/>
  <c r="AF1307" i="1"/>
  <c r="AE1307" i="1"/>
  <c r="J1311" i="1" s="1"/>
  <c r="AD1307" i="1"/>
  <c r="AC1307" i="1"/>
  <c r="J1310" i="1" s="1"/>
  <c r="I1313" i="1" s="1"/>
  <c r="AB1307" i="1"/>
  <c r="E1307" i="1"/>
  <c r="D1307" i="1"/>
  <c r="C1307" i="1"/>
  <c r="B1307" i="1"/>
  <c r="K1305" i="1"/>
  <c r="H1305" i="1"/>
  <c r="G1305" i="1"/>
  <c r="E1305" i="1"/>
  <c r="E1304" i="1"/>
  <c r="E1303" i="1"/>
  <c r="J1302" i="1"/>
  <c r="I1302" i="1"/>
  <c r="H1302" i="1"/>
  <c r="G1302" i="1"/>
  <c r="F1302" i="1"/>
  <c r="C1301" i="1"/>
  <c r="AG1300" i="1"/>
  <c r="AF1300" i="1"/>
  <c r="AE1300" i="1"/>
  <c r="J1304" i="1" s="1"/>
  <c r="AD1300" i="1"/>
  <c r="AC1300" i="1"/>
  <c r="J1303" i="1" s="1"/>
  <c r="I1306" i="1" s="1"/>
  <c r="AB1300" i="1"/>
  <c r="E1300" i="1"/>
  <c r="D1300" i="1"/>
  <c r="C1300" i="1"/>
  <c r="B1300" i="1"/>
  <c r="K1298" i="1"/>
  <c r="H1298" i="1"/>
  <c r="G1298" i="1"/>
  <c r="E1298" i="1"/>
  <c r="E1297" i="1"/>
  <c r="E1296" i="1"/>
  <c r="J1295" i="1"/>
  <c r="I1295" i="1"/>
  <c r="H1295" i="1"/>
  <c r="G1295" i="1"/>
  <c r="F1295" i="1"/>
  <c r="C1294" i="1"/>
  <c r="AG1293" i="1"/>
  <c r="AF1293" i="1"/>
  <c r="AE1293" i="1"/>
  <c r="J1297" i="1" s="1"/>
  <c r="AD1293" i="1"/>
  <c r="AC1293" i="1"/>
  <c r="J1296" i="1" s="1"/>
  <c r="AB1293" i="1"/>
  <c r="E1293" i="1"/>
  <c r="D1293" i="1"/>
  <c r="C1293" i="1"/>
  <c r="B1293" i="1"/>
  <c r="K1291" i="1"/>
  <c r="H1291" i="1"/>
  <c r="G1291" i="1"/>
  <c r="E1291" i="1"/>
  <c r="E1290" i="1"/>
  <c r="E1289" i="1"/>
  <c r="J1288" i="1"/>
  <c r="I1288" i="1"/>
  <c r="H1288" i="1"/>
  <c r="G1288" i="1"/>
  <c r="F1288" i="1"/>
  <c r="C1287" i="1"/>
  <c r="AG1286" i="1"/>
  <c r="AF1286" i="1"/>
  <c r="AE1286" i="1"/>
  <c r="J1290" i="1" s="1"/>
  <c r="AD1286" i="1"/>
  <c r="AC1286" i="1"/>
  <c r="J1289" i="1" s="1"/>
  <c r="AB1286" i="1"/>
  <c r="E1286" i="1"/>
  <c r="D1286" i="1"/>
  <c r="C1286" i="1"/>
  <c r="B1286" i="1"/>
  <c r="K1284" i="1"/>
  <c r="H1284" i="1"/>
  <c r="G1284" i="1"/>
  <c r="E1284" i="1"/>
  <c r="E1283" i="1"/>
  <c r="E1282" i="1"/>
  <c r="J1281" i="1"/>
  <c r="I1281" i="1"/>
  <c r="H1281" i="1"/>
  <c r="G1281" i="1"/>
  <c r="F1281" i="1"/>
  <c r="C1280" i="1"/>
  <c r="AG1279" i="1"/>
  <c r="AF1279" i="1"/>
  <c r="AE1279" i="1"/>
  <c r="J1283" i="1" s="1"/>
  <c r="AD1279" i="1"/>
  <c r="AC1279" i="1"/>
  <c r="J1282" i="1" s="1"/>
  <c r="I1285" i="1" s="1"/>
  <c r="AB1279" i="1"/>
  <c r="E1279" i="1"/>
  <c r="D1279" i="1"/>
  <c r="C1279" i="1"/>
  <c r="B1279" i="1"/>
  <c r="I1278" i="1"/>
  <c r="K1277" i="1"/>
  <c r="H1277" i="1"/>
  <c r="G1277" i="1"/>
  <c r="E1277" i="1"/>
  <c r="E1276" i="1"/>
  <c r="E1275" i="1"/>
  <c r="J1274" i="1"/>
  <c r="I1274" i="1"/>
  <c r="H1274" i="1"/>
  <c r="G1274" i="1"/>
  <c r="F1274" i="1"/>
  <c r="C1273" i="1"/>
  <c r="AG1272" i="1"/>
  <c r="AF1272" i="1"/>
  <c r="AE1272" i="1"/>
  <c r="J1276" i="1" s="1"/>
  <c r="AD1272" i="1"/>
  <c r="AC1272" i="1"/>
  <c r="J1275" i="1" s="1"/>
  <c r="AB1272" i="1"/>
  <c r="E1272" i="1"/>
  <c r="D1272" i="1"/>
  <c r="C1272" i="1"/>
  <c r="B1272" i="1"/>
  <c r="A1271" i="1"/>
  <c r="AQ1268" i="1"/>
  <c r="A1268" i="1"/>
  <c r="I1266" i="1"/>
  <c r="K1265" i="1"/>
  <c r="H1265" i="1"/>
  <c r="G1265" i="1"/>
  <c r="E1265" i="1"/>
  <c r="J1264" i="1"/>
  <c r="E1264" i="1"/>
  <c r="E1263" i="1"/>
  <c r="J1262" i="1"/>
  <c r="I1262" i="1"/>
  <c r="H1262" i="1"/>
  <c r="G1262" i="1"/>
  <c r="F1262" i="1"/>
  <c r="J1261" i="1"/>
  <c r="I1261" i="1"/>
  <c r="H1261" i="1"/>
  <c r="G1261" i="1"/>
  <c r="F1261" i="1"/>
  <c r="C1260" i="1"/>
  <c r="AG1259" i="1"/>
  <c r="AF1259" i="1"/>
  <c r="AE1259" i="1"/>
  <c r="AD1259" i="1"/>
  <c r="AC1259" i="1"/>
  <c r="J1263" i="1" s="1"/>
  <c r="AB1259" i="1"/>
  <c r="E1259" i="1"/>
  <c r="D1259" i="1"/>
  <c r="C1259" i="1"/>
  <c r="B1259" i="1"/>
  <c r="I1258" i="1"/>
  <c r="AG1257" i="1"/>
  <c r="AF1257" i="1"/>
  <c r="AE1257" i="1"/>
  <c r="AD1257" i="1"/>
  <c r="AC1257" i="1"/>
  <c r="AB1257" i="1"/>
  <c r="J1257" i="1"/>
  <c r="I1257" i="1"/>
  <c r="H1257" i="1"/>
  <c r="F1257" i="1"/>
  <c r="E1257" i="1"/>
  <c r="D1257" i="1"/>
  <c r="C1257" i="1"/>
  <c r="B1257" i="1"/>
  <c r="J1256" i="1"/>
  <c r="I1256" i="1"/>
  <c r="H1256" i="1"/>
  <c r="G1256" i="1"/>
  <c r="F1256" i="1"/>
  <c r="AG1255" i="1"/>
  <c r="AF1255" i="1"/>
  <c r="AE1255" i="1"/>
  <c r="AD1255" i="1"/>
  <c r="AC1255" i="1"/>
  <c r="AB1255" i="1"/>
  <c r="E1255" i="1"/>
  <c r="D1255" i="1"/>
  <c r="C1255" i="1"/>
  <c r="B1255" i="1"/>
  <c r="I1254" i="1"/>
  <c r="AG1253" i="1"/>
  <c r="AF1253" i="1"/>
  <c r="AE1253" i="1"/>
  <c r="AD1253" i="1"/>
  <c r="AC1253" i="1"/>
  <c r="AB1253" i="1"/>
  <c r="J1253" i="1"/>
  <c r="I1253" i="1"/>
  <c r="H1253" i="1"/>
  <c r="F1253" i="1"/>
  <c r="E1253" i="1"/>
  <c r="D1253" i="1"/>
  <c r="C1253" i="1"/>
  <c r="B1253" i="1"/>
  <c r="J1252" i="1"/>
  <c r="I1252" i="1"/>
  <c r="H1252" i="1"/>
  <c r="G1252" i="1"/>
  <c r="F1252" i="1"/>
  <c r="AG1251" i="1"/>
  <c r="AF1251" i="1"/>
  <c r="AE1251" i="1"/>
  <c r="AD1251" i="1"/>
  <c r="AC1251" i="1"/>
  <c r="AB1251" i="1"/>
  <c r="E1251" i="1"/>
  <c r="D1251" i="1"/>
  <c r="C1251" i="1"/>
  <c r="B1251" i="1"/>
  <c r="K1249" i="1"/>
  <c r="H1249" i="1"/>
  <c r="G1249" i="1"/>
  <c r="E1249" i="1"/>
  <c r="E1248" i="1"/>
  <c r="E1247" i="1"/>
  <c r="J1246" i="1"/>
  <c r="I1246" i="1"/>
  <c r="H1246" i="1"/>
  <c r="G1246" i="1"/>
  <c r="F1246" i="1"/>
  <c r="C1245" i="1"/>
  <c r="AG1244" i="1"/>
  <c r="AF1244" i="1"/>
  <c r="AE1244" i="1"/>
  <c r="J1248" i="1" s="1"/>
  <c r="I1250" i="1" s="1"/>
  <c r="AD1244" i="1"/>
  <c r="AC1244" i="1"/>
  <c r="J1247" i="1" s="1"/>
  <c r="AB1244" i="1"/>
  <c r="E1244" i="1"/>
  <c r="D1244" i="1"/>
  <c r="C1244" i="1"/>
  <c r="B1244" i="1"/>
  <c r="K1242" i="1"/>
  <c r="H1242" i="1"/>
  <c r="G1242" i="1"/>
  <c r="E1242" i="1"/>
  <c r="J1241" i="1"/>
  <c r="E1241" i="1"/>
  <c r="E1240" i="1"/>
  <c r="J1239" i="1"/>
  <c r="E1239" i="1"/>
  <c r="J1238" i="1"/>
  <c r="I1238" i="1"/>
  <c r="H1238" i="1"/>
  <c r="G1238" i="1"/>
  <c r="F1238" i="1"/>
  <c r="J1237" i="1"/>
  <c r="I1237" i="1"/>
  <c r="H1237" i="1"/>
  <c r="G1237" i="1"/>
  <c r="F1237" i="1"/>
  <c r="J1236" i="1"/>
  <c r="I1236" i="1"/>
  <c r="H1236" i="1"/>
  <c r="G1236" i="1"/>
  <c r="F1236" i="1"/>
  <c r="C1235" i="1"/>
  <c r="AG1234" i="1"/>
  <c r="AF1234" i="1"/>
  <c r="AE1234" i="1"/>
  <c r="J1240" i="1" s="1"/>
  <c r="AD1234" i="1"/>
  <c r="AC1234" i="1"/>
  <c r="AB1234" i="1"/>
  <c r="E1234" i="1"/>
  <c r="D1234" i="1"/>
  <c r="C1234" i="1"/>
  <c r="B1234" i="1"/>
  <c r="K1232" i="1"/>
  <c r="H1232" i="1"/>
  <c r="G1232" i="1"/>
  <c r="E1232" i="1"/>
  <c r="E1231" i="1"/>
  <c r="E1230" i="1"/>
  <c r="J1229" i="1"/>
  <c r="I1229" i="1"/>
  <c r="H1229" i="1"/>
  <c r="G1229" i="1"/>
  <c r="F1229" i="1"/>
  <c r="C1228" i="1"/>
  <c r="AG1227" i="1"/>
  <c r="AF1227" i="1"/>
  <c r="AE1227" i="1"/>
  <c r="J1231" i="1" s="1"/>
  <c r="AD1227" i="1"/>
  <c r="AC1227" i="1"/>
  <c r="J1230" i="1" s="1"/>
  <c r="I1233" i="1" s="1"/>
  <c r="AB1227" i="1"/>
  <c r="E1227" i="1"/>
  <c r="D1227" i="1"/>
  <c r="C1227" i="1"/>
  <c r="B1227" i="1"/>
  <c r="K1225" i="1"/>
  <c r="H1225" i="1"/>
  <c r="G1225" i="1"/>
  <c r="E1225" i="1"/>
  <c r="E1224" i="1"/>
  <c r="E1223" i="1"/>
  <c r="J1222" i="1"/>
  <c r="I1222" i="1"/>
  <c r="H1222" i="1"/>
  <c r="G1222" i="1"/>
  <c r="F1222" i="1"/>
  <c r="C1221" i="1"/>
  <c r="AG1220" i="1"/>
  <c r="AF1220" i="1"/>
  <c r="AE1220" i="1"/>
  <c r="J1224" i="1" s="1"/>
  <c r="AD1220" i="1"/>
  <c r="AC1220" i="1"/>
  <c r="J1223" i="1" s="1"/>
  <c r="I1226" i="1" s="1"/>
  <c r="AB1220" i="1"/>
  <c r="E1220" i="1"/>
  <c r="D1220" i="1"/>
  <c r="C1220" i="1"/>
  <c r="B1220" i="1"/>
  <c r="K1218" i="1"/>
  <c r="H1218" i="1"/>
  <c r="G1218" i="1"/>
  <c r="E1218" i="1"/>
  <c r="E1217" i="1"/>
  <c r="E1216" i="1"/>
  <c r="J1215" i="1"/>
  <c r="I1215" i="1"/>
  <c r="H1215" i="1"/>
  <c r="G1215" i="1"/>
  <c r="F1215" i="1"/>
  <c r="C1214" i="1"/>
  <c r="AG1213" i="1"/>
  <c r="AF1213" i="1"/>
  <c r="AE1213" i="1"/>
  <c r="J1217" i="1" s="1"/>
  <c r="AD1213" i="1"/>
  <c r="AC1213" i="1"/>
  <c r="J1216" i="1" s="1"/>
  <c r="AB1213" i="1"/>
  <c r="E1213" i="1"/>
  <c r="D1213" i="1"/>
  <c r="C1213" i="1"/>
  <c r="B1213" i="1"/>
  <c r="K1211" i="1"/>
  <c r="H1211" i="1"/>
  <c r="G1211" i="1"/>
  <c r="E1211" i="1"/>
  <c r="E1210" i="1"/>
  <c r="E1209" i="1"/>
  <c r="J1208" i="1"/>
  <c r="I1208" i="1"/>
  <c r="H1208" i="1"/>
  <c r="G1208" i="1"/>
  <c r="F1208" i="1"/>
  <c r="C1207" i="1"/>
  <c r="AG1206" i="1"/>
  <c r="AF1206" i="1"/>
  <c r="AE1206" i="1"/>
  <c r="J1210" i="1" s="1"/>
  <c r="AD1206" i="1"/>
  <c r="AC1206" i="1"/>
  <c r="J1209" i="1" s="1"/>
  <c r="AB1206" i="1"/>
  <c r="E1206" i="1"/>
  <c r="D1206" i="1"/>
  <c r="C1206" i="1"/>
  <c r="B1206" i="1"/>
  <c r="E1204" i="1"/>
  <c r="J1203" i="1"/>
  <c r="I1203" i="1"/>
  <c r="H1203" i="1"/>
  <c r="G1203" i="1"/>
  <c r="F1203" i="1"/>
  <c r="J1202" i="1"/>
  <c r="I1205" i="1" s="1"/>
  <c r="AA1205" i="1" s="1"/>
  <c r="I1202" i="1"/>
  <c r="H1202" i="1"/>
  <c r="G1202" i="1"/>
  <c r="F1202" i="1"/>
  <c r="C1201" i="1"/>
  <c r="AG1200" i="1"/>
  <c r="J1204" i="1" s="1"/>
  <c r="AF1200" i="1"/>
  <c r="AE1200" i="1"/>
  <c r="AD1200" i="1"/>
  <c r="AC1200" i="1"/>
  <c r="AB1200" i="1"/>
  <c r="E1200" i="1"/>
  <c r="D1200" i="1"/>
  <c r="C1200" i="1"/>
  <c r="B1200" i="1"/>
  <c r="I1199" i="1"/>
  <c r="AG1198" i="1"/>
  <c r="AF1198" i="1"/>
  <c r="AE1198" i="1"/>
  <c r="AD1198" i="1"/>
  <c r="AC1198" i="1"/>
  <c r="AB1198" i="1"/>
  <c r="J1198" i="1"/>
  <c r="I1198" i="1"/>
  <c r="H1198" i="1"/>
  <c r="F1198" i="1"/>
  <c r="E1198" i="1"/>
  <c r="D1198" i="1"/>
  <c r="C1198" i="1"/>
  <c r="B1198" i="1"/>
  <c r="J1197" i="1"/>
  <c r="I1197" i="1"/>
  <c r="H1197" i="1"/>
  <c r="G1197" i="1"/>
  <c r="F1197" i="1"/>
  <c r="AG1196" i="1"/>
  <c r="AF1196" i="1"/>
  <c r="AE1196" i="1"/>
  <c r="AD1196" i="1"/>
  <c r="AC1196" i="1"/>
  <c r="AB1196" i="1"/>
  <c r="E1196" i="1"/>
  <c r="D1196" i="1"/>
  <c r="C1196" i="1"/>
  <c r="B1196" i="1"/>
  <c r="J1194" i="1"/>
  <c r="I1195" i="1" s="1"/>
  <c r="I1194" i="1"/>
  <c r="H1194" i="1"/>
  <c r="G1194" i="1"/>
  <c r="F1194" i="1"/>
  <c r="AG1193" i="1"/>
  <c r="AF1193" i="1"/>
  <c r="AE1193" i="1"/>
  <c r="AD1193" i="1"/>
  <c r="AC1193" i="1"/>
  <c r="AB1193" i="1"/>
  <c r="E1193" i="1"/>
  <c r="D1193" i="1"/>
  <c r="C1193" i="1"/>
  <c r="B1193" i="1"/>
  <c r="AA1192" i="1"/>
  <c r="K1192" i="1"/>
  <c r="I1192" i="1"/>
  <c r="J1191" i="1"/>
  <c r="I1191" i="1"/>
  <c r="H1191" i="1"/>
  <c r="G1191" i="1"/>
  <c r="F1191" i="1"/>
  <c r="AG1190" i="1"/>
  <c r="AF1190" i="1"/>
  <c r="AE1190" i="1"/>
  <c r="AD1190" i="1"/>
  <c r="AC1190" i="1"/>
  <c r="AB1190" i="1"/>
  <c r="E1190" i="1"/>
  <c r="D1190" i="1"/>
  <c r="C1190" i="1"/>
  <c r="B1190" i="1"/>
  <c r="A1189" i="1"/>
  <c r="AQ1186" i="1"/>
  <c r="A1186" i="1"/>
  <c r="K1184" i="1"/>
  <c r="I1184" i="1"/>
  <c r="AA1184" i="1" s="1"/>
  <c r="I1186" i="1" s="1"/>
  <c r="J1183" i="1"/>
  <c r="I1183" i="1"/>
  <c r="H1183" i="1"/>
  <c r="G1183" i="1"/>
  <c r="F1183" i="1"/>
  <c r="AG1182" i="1"/>
  <c r="AF1182" i="1"/>
  <c r="AE1182" i="1"/>
  <c r="AD1182" i="1"/>
  <c r="AC1182" i="1"/>
  <c r="AB1182" i="1"/>
  <c r="E1182" i="1"/>
  <c r="D1182" i="1"/>
  <c r="C1182" i="1"/>
  <c r="B1182" i="1"/>
  <c r="A1181" i="1"/>
  <c r="AQ1178" i="1"/>
  <c r="A1178" i="1"/>
  <c r="AA1176" i="1"/>
  <c r="I1178" i="1" s="1"/>
  <c r="I1176" i="1"/>
  <c r="K1176" i="1" s="1"/>
  <c r="AG1175" i="1"/>
  <c r="AF1175" i="1"/>
  <c r="AE1175" i="1"/>
  <c r="AD1175" i="1"/>
  <c r="AC1175" i="1"/>
  <c r="AB1175" i="1"/>
  <c r="J1175" i="1"/>
  <c r="I1175" i="1"/>
  <c r="H1175" i="1"/>
  <c r="F1175" i="1"/>
  <c r="E1175" i="1"/>
  <c r="D1175" i="1"/>
  <c r="C1175" i="1"/>
  <c r="B1175" i="1"/>
  <c r="J1174" i="1"/>
  <c r="I1174" i="1"/>
  <c r="H1174" i="1"/>
  <c r="G1174" i="1"/>
  <c r="F1174" i="1"/>
  <c r="AG1173" i="1"/>
  <c r="AF1173" i="1"/>
  <c r="AE1173" i="1"/>
  <c r="AD1173" i="1"/>
  <c r="AC1173" i="1"/>
  <c r="AB1173" i="1"/>
  <c r="E1173" i="1"/>
  <c r="D1173" i="1"/>
  <c r="C1173" i="1"/>
  <c r="B1173" i="1"/>
  <c r="A1172" i="1"/>
  <c r="AQ1169" i="1"/>
  <c r="A1169" i="1"/>
  <c r="I1167" i="1"/>
  <c r="AA1167" i="1" s="1"/>
  <c r="I1169" i="1" s="1"/>
  <c r="J1166" i="1"/>
  <c r="I1166" i="1"/>
  <c r="H1166" i="1"/>
  <c r="G1166" i="1"/>
  <c r="F1166" i="1"/>
  <c r="AG1165" i="1"/>
  <c r="AF1165" i="1"/>
  <c r="AE1165" i="1"/>
  <c r="AD1165" i="1"/>
  <c r="AC1165" i="1"/>
  <c r="AB1165" i="1"/>
  <c r="E1165" i="1"/>
  <c r="D1165" i="1"/>
  <c r="C1165" i="1"/>
  <c r="B1165" i="1"/>
  <c r="A1164" i="1"/>
  <c r="A1161" i="1"/>
  <c r="J1158" i="1"/>
  <c r="I1159" i="1" s="1"/>
  <c r="AA1159" i="1" s="1"/>
  <c r="I1161" i="1" s="1"/>
  <c r="I1158" i="1"/>
  <c r="H1158" i="1"/>
  <c r="G1158" i="1"/>
  <c r="F1158" i="1"/>
  <c r="AG1157" i="1"/>
  <c r="AF1157" i="1"/>
  <c r="AE1157" i="1"/>
  <c r="AD1157" i="1"/>
  <c r="AC1157" i="1"/>
  <c r="AB1157" i="1"/>
  <c r="E1157" i="1"/>
  <c r="D1157" i="1"/>
  <c r="C1157" i="1"/>
  <c r="B1157" i="1"/>
  <c r="A1156" i="1"/>
  <c r="AQ1153" i="1"/>
  <c r="A1153" i="1"/>
  <c r="A1150" i="1"/>
  <c r="J1147" i="1"/>
  <c r="I1148" i="1" s="1"/>
  <c r="I1147" i="1"/>
  <c r="H1147" i="1"/>
  <c r="G1147" i="1"/>
  <c r="F1147" i="1"/>
  <c r="AG1146" i="1"/>
  <c r="AF1146" i="1"/>
  <c r="AE1146" i="1"/>
  <c r="AD1146" i="1"/>
  <c r="AC1146" i="1"/>
  <c r="AB1146" i="1"/>
  <c r="E1146" i="1"/>
  <c r="D1146" i="1"/>
  <c r="C1146" i="1"/>
  <c r="B1146" i="1"/>
  <c r="A1145" i="1"/>
  <c r="A1142" i="1"/>
  <c r="K1139" i="1"/>
  <c r="H1139" i="1"/>
  <c r="G1139" i="1"/>
  <c r="E1139" i="1"/>
  <c r="J1138" i="1"/>
  <c r="E1138" i="1"/>
  <c r="J1137" i="1"/>
  <c r="I1140" i="1" s="1"/>
  <c r="E1137" i="1"/>
  <c r="J1136" i="1"/>
  <c r="I1136" i="1"/>
  <c r="H1136" i="1"/>
  <c r="G1136" i="1"/>
  <c r="F1136" i="1"/>
  <c r="J1135" i="1"/>
  <c r="I1135" i="1"/>
  <c r="H1135" i="1"/>
  <c r="G1135" i="1"/>
  <c r="F1135" i="1"/>
  <c r="C1134" i="1"/>
  <c r="AG1133" i="1"/>
  <c r="AF1133" i="1"/>
  <c r="AE1133" i="1"/>
  <c r="AD1133" i="1"/>
  <c r="AC1133" i="1"/>
  <c r="AB1133" i="1"/>
  <c r="E1133" i="1"/>
  <c r="D1133" i="1"/>
  <c r="C1133" i="1"/>
  <c r="B1133" i="1"/>
  <c r="AG1131" i="1"/>
  <c r="AF1131" i="1"/>
  <c r="AE1131" i="1"/>
  <c r="AD1131" i="1"/>
  <c r="AC1131" i="1"/>
  <c r="AB1131" i="1"/>
  <c r="J1131" i="1"/>
  <c r="I1131" i="1"/>
  <c r="H1131" i="1"/>
  <c r="F1131" i="1"/>
  <c r="E1131" i="1"/>
  <c r="D1131" i="1"/>
  <c r="C1131" i="1"/>
  <c r="B1131" i="1"/>
  <c r="J1130" i="1"/>
  <c r="I1132" i="1" s="1"/>
  <c r="I1130" i="1"/>
  <c r="H1130" i="1"/>
  <c r="G1130" i="1"/>
  <c r="F1130" i="1"/>
  <c r="AG1129" i="1"/>
  <c r="AF1129" i="1"/>
  <c r="AE1129" i="1"/>
  <c r="AD1129" i="1"/>
  <c r="AC1129" i="1"/>
  <c r="AB1129" i="1"/>
  <c r="E1129" i="1"/>
  <c r="D1129" i="1"/>
  <c r="C1129" i="1"/>
  <c r="B1129" i="1"/>
  <c r="AG1127" i="1"/>
  <c r="AF1127" i="1"/>
  <c r="AE1127" i="1"/>
  <c r="AD1127" i="1"/>
  <c r="AC1127" i="1"/>
  <c r="AB1127" i="1"/>
  <c r="J1127" i="1"/>
  <c r="I1127" i="1"/>
  <c r="H1127" i="1"/>
  <c r="F1127" i="1"/>
  <c r="E1127" i="1"/>
  <c r="D1127" i="1"/>
  <c r="C1127" i="1"/>
  <c r="B1127" i="1"/>
  <c r="J1126" i="1"/>
  <c r="I1128" i="1" s="1"/>
  <c r="I1126" i="1"/>
  <c r="H1126" i="1"/>
  <c r="G1126" i="1"/>
  <c r="F1126" i="1"/>
  <c r="AG1125" i="1"/>
  <c r="AF1125" i="1"/>
  <c r="AE1125" i="1"/>
  <c r="AD1125" i="1"/>
  <c r="AC1125" i="1"/>
  <c r="AB1125" i="1"/>
  <c r="E1125" i="1"/>
  <c r="D1125" i="1"/>
  <c r="C1125" i="1"/>
  <c r="B1125" i="1"/>
  <c r="K1123" i="1"/>
  <c r="H1123" i="1"/>
  <c r="G1123" i="1"/>
  <c r="E1123" i="1"/>
  <c r="E1122" i="1"/>
  <c r="E1121" i="1"/>
  <c r="J1120" i="1"/>
  <c r="I1120" i="1"/>
  <c r="H1120" i="1"/>
  <c r="G1120" i="1"/>
  <c r="F1120" i="1"/>
  <c r="C1119" i="1"/>
  <c r="AG1118" i="1"/>
  <c r="AF1118" i="1"/>
  <c r="AE1118" i="1"/>
  <c r="J1122" i="1" s="1"/>
  <c r="AD1118" i="1"/>
  <c r="AC1118" i="1"/>
  <c r="J1121" i="1" s="1"/>
  <c r="I1124" i="1" s="1"/>
  <c r="AB1118" i="1"/>
  <c r="E1118" i="1"/>
  <c r="D1118" i="1"/>
  <c r="C1118" i="1"/>
  <c r="B1118" i="1"/>
  <c r="K1116" i="1"/>
  <c r="H1116" i="1"/>
  <c r="G1116" i="1"/>
  <c r="E1116" i="1"/>
  <c r="J1115" i="1"/>
  <c r="E1115" i="1"/>
  <c r="E1114" i="1"/>
  <c r="J1113" i="1"/>
  <c r="E1113" i="1"/>
  <c r="J1112" i="1"/>
  <c r="I1112" i="1"/>
  <c r="H1112" i="1"/>
  <c r="G1112" i="1"/>
  <c r="F1112" i="1"/>
  <c r="J1111" i="1"/>
  <c r="I1117" i="1" s="1"/>
  <c r="I1111" i="1"/>
  <c r="H1111" i="1"/>
  <c r="G1111" i="1"/>
  <c r="F1111" i="1"/>
  <c r="J1110" i="1"/>
  <c r="I1110" i="1"/>
  <c r="H1110" i="1"/>
  <c r="G1110" i="1"/>
  <c r="F1110" i="1"/>
  <c r="C1109" i="1"/>
  <c r="AG1108" i="1"/>
  <c r="AF1108" i="1"/>
  <c r="AE1108" i="1"/>
  <c r="J1114" i="1" s="1"/>
  <c r="AD1108" i="1"/>
  <c r="AC1108" i="1"/>
  <c r="AB1108" i="1"/>
  <c r="E1108" i="1"/>
  <c r="D1108" i="1"/>
  <c r="C1108" i="1"/>
  <c r="B1108" i="1"/>
  <c r="K1106" i="1"/>
  <c r="H1106" i="1"/>
  <c r="G1106" i="1"/>
  <c r="E1106" i="1"/>
  <c r="E1105" i="1"/>
  <c r="E1104" i="1"/>
  <c r="J1103" i="1"/>
  <c r="I1103" i="1"/>
  <c r="H1103" i="1"/>
  <c r="G1103" i="1"/>
  <c r="F1103" i="1"/>
  <c r="C1102" i="1"/>
  <c r="AG1101" i="1"/>
  <c r="AF1101" i="1"/>
  <c r="AE1101" i="1"/>
  <c r="J1105" i="1" s="1"/>
  <c r="AD1101" i="1"/>
  <c r="AC1101" i="1"/>
  <c r="J1104" i="1" s="1"/>
  <c r="AB1101" i="1"/>
  <c r="E1101" i="1"/>
  <c r="D1101" i="1"/>
  <c r="C1101" i="1"/>
  <c r="B1101" i="1"/>
  <c r="K1099" i="1"/>
  <c r="H1099" i="1"/>
  <c r="G1099" i="1"/>
  <c r="E1099" i="1"/>
  <c r="E1098" i="1"/>
  <c r="E1097" i="1"/>
  <c r="J1096" i="1"/>
  <c r="I1096" i="1"/>
  <c r="H1096" i="1"/>
  <c r="G1096" i="1"/>
  <c r="F1096" i="1"/>
  <c r="C1095" i="1"/>
  <c r="AG1094" i="1"/>
  <c r="AF1094" i="1"/>
  <c r="AE1094" i="1"/>
  <c r="J1098" i="1" s="1"/>
  <c r="AD1094" i="1"/>
  <c r="AC1094" i="1"/>
  <c r="J1097" i="1" s="1"/>
  <c r="AB1094" i="1"/>
  <c r="E1094" i="1"/>
  <c r="D1094" i="1"/>
  <c r="C1094" i="1"/>
  <c r="B1094" i="1"/>
  <c r="K1092" i="1"/>
  <c r="H1092" i="1"/>
  <c r="G1092" i="1"/>
  <c r="E1092" i="1"/>
  <c r="E1091" i="1"/>
  <c r="E1090" i="1"/>
  <c r="J1089" i="1"/>
  <c r="I1089" i="1"/>
  <c r="H1089" i="1"/>
  <c r="G1089" i="1"/>
  <c r="F1089" i="1"/>
  <c r="C1088" i="1"/>
  <c r="AG1087" i="1"/>
  <c r="AF1087" i="1"/>
  <c r="AE1087" i="1"/>
  <c r="J1091" i="1" s="1"/>
  <c r="AD1087" i="1"/>
  <c r="AC1087" i="1"/>
  <c r="J1090" i="1" s="1"/>
  <c r="I1093" i="1" s="1"/>
  <c r="AB1087" i="1"/>
  <c r="E1087" i="1"/>
  <c r="D1087" i="1"/>
  <c r="C1087" i="1"/>
  <c r="B1087" i="1"/>
  <c r="K1085" i="1"/>
  <c r="H1085" i="1"/>
  <c r="G1085" i="1"/>
  <c r="E1085" i="1"/>
  <c r="E1084" i="1"/>
  <c r="E1083" i="1"/>
  <c r="J1082" i="1"/>
  <c r="I1082" i="1"/>
  <c r="H1082" i="1"/>
  <c r="G1082" i="1"/>
  <c r="F1082" i="1"/>
  <c r="C1081" i="1"/>
  <c r="AG1080" i="1"/>
  <c r="AF1080" i="1"/>
  <c r="AE1080" i="1"/>
  <c r="J1084" i="1" s="1"/>
  <c r="AD1080" i="1"/>
  <c r="AC1080" i="1"/>
  <c r="J1083" i="1" s="1"/>
  <c r="AB1080" i="1"/>
  <c r="E1080" i="1"/>
  <c r="D1080" i="1"/>
  <c r="C1080" i="1"/>
  <c r="B1080" i="1"/>
  <c r="J1078" i="1"/>
  <c r="E1078" i="1"/>
  <c r="J1077" i="1"/>
  <c r="I1077" i="1"/>
  <c r="H1077" i="1"/>
  <c r="G1077" i="1"/>
  <c r="F1077" i="1"/>
  <c r="J1076" i="1"/>
  <c r="I1079" i="1" s="1"/>
  <c r="I1076" i="1"/>
  <c r="H1076" i="1"/>
  <c r="G1076" i="1"/>
  <c r="F1076" i="1"/>
  <c r="C1075" i="1"/>
  <c r="AG1074" i="1"/>
  <c r="AF1074" i="1"/>
  <c r="AE1074" i="1"/>
  <c r="AD1074" i="1"/>
  <c r="AC1074" i="1"/>
  <c r="AB1074" i="1"/>
  <c r="E1074" i="1"/>
  <c r="D1074" i="1"/>
  <c r="C1074" i="1"/>
  <c r="B1074" i="1"/>
  <c r="AG1072" i="1"/>
  <c r="AF1072" i="1"/>
  <c r="AE1072" i="1"/>
  <c r="AD1072" i="1"/>
  <c r="AC1072" i="1"/>
  <c r="AB1072" i="1"/>
  <c r="J1072" i="1"/>
  <c r="I1072" i="1"/>
  <c r="H1072" i="1"/>
  <c r="F1072" i="1"/>
  <c r="E1072" i="1"/>
  <c r="D1072" i="1"/>
  <c r="C1072" i="1"/>
  <c r="B1072" i="1"/>
  <c r="J1071" i="1"/>
  <c r="I1073" i="1" s="1"/>
  <c r="I1071" i="1"/>
  <c r="H1071" i="1"/>
  <c r="G1071" i="1"/>
  <c r="F1071" i="1"/>
  <c r="AG1070" i="1"/>
  <c r="AF1070" i="1"/>
  <c r="AE1070" i="1"/>
  <c r="AD1070" i="1"/>
  <c r="AC1070" i="1"/>
  <c r="AB1070" i="1"/>
  <c r="E1070" i="1"/>
  <c r="D1070" i="1"/>
  <c r="C1070" i="1"/>
  <c r="B1070" i="1"/>
  <c r="K1069" i="1"/>
  <c r="I1069" i="1"/>
  <c r="AA1069" i="1" s="1"/>
  <c r="J1068" i="1"/>
  <c r="I1068" i="1"/>
  <c r="H1068" i="1"/>
  <c r="G1068" i="1"/>
  <c r="F1068" i="1"/>
  <c r="AG1067" i="1"/>
  <c r="AF1067" i="1"/>
  <c r="AE1067" i="1"/>
  <c r="AD1067" i="1"/>
  <c r="AC1067" i="1"/>
  <c r="AB1067" i="1"/>
  <c r="E1067" i="1"/>
  <c r="D1067" i="1"/>
  <c r="C1067" i="1"/>
  <c r="B1067" i="1"/>
  <c r="J1065" i="1"/>
  <c r="I1066" i="1" s="1"/>
  <c r="I1065" i="1"/>
  <c r="H1065" i="1"/>
  <c r="G1065" i="1"/>
  <c r="F1065" i="1"/>
  <c r="AG1064" i="1"/>
  <c r="AF1064" i="1"/>
  <c r="AE1064" i="1"/>
  <c r="AD1064" i="1"/>
  <c r="AC1064" i="1"/>
  <c r="AB1064" i="1"/>
  <c r="E1064" i="1"/>
  <c r="D1064" i="1"/>
  <c r="C1064" i="1"/>
  <c r="B1064" i="1"/>
  <c r="A1063" i="1"/>
  <c r="AP1061" i="1"/>
  <c r="A1061" i="1"/>
  <c r="A1058" i="1"/>
  <c r="AG1055" i="1"/>
  <c r="AF1055" i="1"/>
  <c r="AE1055" i="1"/>
  <c r="AD1055" i="1"/>
  <c r="AC1055" i="1"/>
  <c r="AB1055" i="1"/>
  <c r="J1055" i="1"/>
  <c r="I1055" i="1"/>
  <c r="H1055" i="1"/>
  <c r="F1055" i="1"/>
  <c r="E1055" i="1"/>
  <c r="D1055" i="1"/>
  <c r="C1055" i="1"/>
  <c r="B1055" i="1"/>
  <c r="J1054" i="1"/>
  <c r="I1056" i="1" s="1"/>
  <c r="I1054" i="1"/>
  <c r="H1054" i="1"/>
  <c r="G1054" i="1"/>
  <c r="F1054" i="1"/>
  <c r="AG1053" i="1"/>
  <c r="AF1053" i="1"/>
  <c r="AE1053" i="1"/>
  <c r="AD1053" i="1"/>
  <c r="AC1053" i="1"/>
  <c r="AB1053" i="1"/>
  <c r="E1053" i="1"/>
  <c r="D1053" i="1"/>
  <c r="C1053" i="1"/>
  <c r="B1053" i="1"/>
  <c r="K1051" i="1"/>
  <c r="H1051" i="1"/>
  <c r="G1051" i="1"/>
  <c r="E1051" i="1"/>
  <c r="E1050" i="1"/>
  <c r="E1049" i="1"/>
  <c r="J1048" i="1"/>
  <c r="I1048" i="1"/>
  <c r="H1048" i="1"/>
  <c r="G1048" i="1"/>
  <c r="F1048" i="1"/>
  <c r="C1047" i="1"/>
  <c r="AG1046" i="1"/>
  <c r="AF1046" i="1"/>
  <c r="AE1046" i="1"/>
  <c r="J1050" i="1" s="1"/>
  <c r="AD1046" i="1"/>
  <c r="AC1046" i="1"/>
  <c r="J1049" i="1" s="1"/>
  <c r="AB1046" i="1"/>
  <c r="E1046" i="1"/>
  <c r="D1046" i="1"/>
  <c r="C1046" i="1"/>
  <c r="B1046" i="1"/>
  <c r="A1045" i="1"/>
  <c r="A1042" i="1"/>
  <c r="K1039" i="1"/>
  <c r="H1039" i="1"/>
  <c r="G1039" i="1"/>
  <c r="E1039" i="1"/>
  <c r="E1038" i="1"/>
  <c r="J1037" i="1"/>
  <c r="E1037" i="1"/>
  <c r="J1036" i="1"/>
  <c r="I1036" i="1"/>
  <c r="H1036" i="1"/>
  <c r="G1036" i="1"/>
  <c r="F1036" i="1"/>
  <c r="J1035" i="1"/>
  <c r="I1035" i="1"/>
  <c r="H1035" i="1"/>
  <c r="G1035" i="1"/>
  <c r="F1035" i="1"/>
  <c r="C1034" i="1"/>
  <c r="AG1033" i="1"/>
  <c r="AF1033" i="1"/>
  <c r="AE1033" i="1"/>
  <c r="J1038" i="1" s="1"/>
  <c r="AD1033" i="1"/>
  <c r="AC1033" i="1"/>
  <c r="AB1033" i="1"/>
  <c r="E1033" i="1"/>
  <c r="D1033" i="1"/>
  <c r="C1033" i="1"/>
  <c r="B1033" i="1"/>
  <c r="AG1031" i="1"/>
  <c r="AF1031" i="1"/>
  <c r="AE1031" i="1"/>
  <c r="AD1031" i="1"/>
  <c r="AC1031" i="1"/>
  <c r="AB1031" i="1"/>
  <c r="J1031" i="1"/>
  <c r="I1031" i="1"/>
  <c r="H1031" i="1"/>
  <c r="F1031" i="1"/>
  <c r="E1031" i="1"/>
  <c r="D1031" i="1"/>
  <c r="C1031" i="1"/>
  <c r="B1031" i="1"/>
  <c r="J1030" i="1"/>
  <c r="I1032" i="1" s="1"/>
  <c r="I1030" i="1"/>
  <c r="H1030" i="1"/>
  <c r="G1030" i="1"/>
  <c r="F1030" i="1"/>
  <c r="AG1029" i="1"/>
  <c r="AF1029" i="1"/>
  <c r="AE1029" i="1"/>
  <c r="AD1029" i="1"/>
  <c r="AC1029" i="1"/>
  <c r="AB1029" i="1"/>
  <c r="E1029" i="1"/>
  <c r="D1029" i="1"/>
  <c r="C1029" i="1"/>
  <c r="B1029" i="1"/>
  <c r="K1027" i="1"/>
  <c r="H1027" i="1"/>
  <c r="G1027" i="1"/>
  <c r="E1027" i="1"/>
  <c r="E1026" i="1"/>
  <c r="E1025" i="1"/>
  <c r="J1024" i="1"/>
  <c r="I1024" i="1"/>
  <c r="H1024" i="1"/>
  <c r="G1024" i="1"/>
  <c r="F1024" i="1"/>
  <c r="C1023" i="1"/>
  <c r="AG1022" i="1"/>
  <c r="AF1022" i="1"/>
  <c r="AE1022" i="1"/>
  <c r="J1026" i="1" s="1"/>
  <c r="AD1022" i="1"/>
  <c r="AC1022" i="1"/>
  <c r="J1025" i="1" s="1"/>
  <c r="AB1022" i="1"/>
  <c r="E1022" i="1"/>
  <c r="D1022" i="1"/>
  <c r="C1022" i="1"/>
  <c r="B1022" i="1"/>
  <c r="K1021" i="1"/>
  <c r="I1021" i="1"/>
  <c r="AA1021" i="1" s="1"/>
  <c r="J1020" i="1"/>
  <c r="I1020" i="1"/>
  <c r="H1020" i="1"/>
  <c r="G1020" i="1"/>
  <c r="F1020" i="1"/>
  <c r="AG1019" i="1"/>
  <c r="AF1019" i="1"/>
  <c r="AE1019" i="1"/>
  <c r="AD1019" i="1"/>
  <c r="AC1019" i="1"/>
  <c r="AB1019" i="1"/>
  <c r="E1019" i="1"/>
  <c r="D1019" i="1"/>
  <c r="C1019" i="1"/>
  <c r="B1019" i="1"/>
  <c r="A1018" i="1"/>
  <c r="A1015" i="1"/>
  <c r="K1012" i="1"/>
  <c r="H1012" i="1"/>
  <c r="G1012" i="1"/>
  <c r="E1012" i="1"/>
  <c r="E1011" i="1"/>
  <c r="E1010" i="1"/>
  <c r="J1009" i="1"/>
  <c r="I1009" i="1"/>
  <c r="H1009" i="1"/>
  <c r="G1009" i="1"/>
  <c r="F1009" i="1"/>
  <c r="C1008" i="1"/>
  <c r="AG1007" i="1"/>
  <c r="AF1007" i="1"/>
  <c r="AE1007" i="1"/>
  <c r="J1011" i="1" s="1"/>
  <c r="AD1007" i="1"/>
  <c r="AC1007" i="1"/>
  <c r="J1010" i="1" s="1"/>
  <c r="AB1007" i="1"/>
  <c r="E1007" i="1"/>
  <c r="D1007" i="1"/>
  <c r="C1007" i="1"/>
  <c r="B1007" i="1"/>
  <c r="AG1005" i="1"/>
  <c r="AF1005" i="1"/>
  <c r="AE1005" i="1"/>
  <c r="AD1005" i="1"/>
  <c r="AC1005" i="1"/>
  <c r="AB1005" i="1"/>
  <c r="J1005" i="1"/>
  <c r="I1005" i="1"/>
  <c r="H1005" i="1"/>
  <c r="F1005" i="1"/>
  <c r="E1005" i="1"/>
  <c r="D1005" i="1"/>
  <c r="C1005" i="1"/>
  <c r="B1005" i="1"/>
  <c r="J1004" i="1"/>
  <c r="I1006" i="1" s="1"/>
  <c r="I1004" i="1"/>
  <c r="H1004" i="1"/>
  <c r="G1004" i="1"/>
  <c r="F1004" i="1"/>
  <c r="AG1003" i="1"/>
  <c r="AF1003" i="1"/>
  <c r="AE1003" i="1"/>
  <c r="AD1003" i="1"/>
  <c r="AC1003" i="1"/>
  <c r="AB1003" i="1"/>
  <c r="E1003" i="1"/>
  <c r="D1003" i="1"/>
  <c r="C1003" i="1"/>
  <c r="B1003" i="1"/>
  <c r="A1002" i="1"/>
  <c r="A999" i="1"/>
  <c r="K996" i="1"/>
  <c r="H996" i="1"/>
  <c r="G996" i="1"/>
  <c r="E996" i="1"/>
  <c r="E995" i="1"/>
  <c r="E994" i="1"/>
  <c r="J993" i="1"/>
  <c r="I993" i="1"/>
  <c r="H993" i="1"/>
  <c r="G993" i="1"/>
  <c r="F993" i="1"/>
  <c r="AG992" i="1"/>
  <c r="AF992" i="1"/>
  <c r="AE992" i="1"/>
  <c r="J995" i="1" s="1"/>
  <c r="AD992" i="1"/>
  <c r="AC992" i="1"/>
  <c r="J994" i="1" s="1"/>
  <c r="AB992" i="1"/>
  <c r="E992" i="1"/>
  <c r="D992" i="1"/>
  <c r="C992" i="1"/>
  <c r="B992" i="1"/>
  <c r="A991" i="1"/>
  <c r="A988" i="1"/>
  <c r="K985" i="1"/>
  <c r="H985" i="1"/>
  <c r="G985" i="1"/>
  <c r="E985" i="1"/>
  <c r="J984" i="1"/>
  <c r="E984" i="1"/>
  <c r="E983" i="1"/>
  <c r="J982" i="1"/>
  <c r="I982" i="1"/>
  <c r="H982" i="1"/>
  <c r="G982" i="1"/>
  <c r="F982" i="1"/>
  <c r="J981" i="1"/>
  <c r="I981" i="1"/>
  <c r="H981" i="1"/>
  <c r="G981" i="1"/>
  <c r="F981" i="1"/>
  <c r="C980" i="1"/>
  <c r="AG979" i="1"/>
  <c r="AF979" i="1"/>
  <c r="AE979" i="1"/>
  <c r="AD979" i="1"/>
  <c r="AC979" i="1"/>
  <c r="J983" i="1" s="1"/>
  <c r="I986" i="1" s="1"/>
  <c r="AB979" i="1"/>
  <c r="E979" i="1"/>
  <c r="D979" i="1"/>
  <c r="C979" i="1"/>
  <c r="B979" i="1"/>
  <c r="K977" i="1"/>
  <c r="H977" i="1"/>
  <c r="G977" i="1"/>
  <c r="E977" i="1"/>
  <c r="E976" i="1"/>
  <c r="E975" i="1"/>
  <c r="J974" i="1"/>
  <c r="I974" i="1"/>
  <c r="H974" i="1"/>
  <c r="G974" i="1"/>
  <c r="F974" i="1"/>
  <c r="C973" i="1"/>
  <c r="AG972" i="1"/>
  <c r="AF972" i="1"/>
  <c r="AE972" i="1"/>
  <c r="J976" i="1" s="1"/>
  <c r="AD972" i="1"/>
  <c r="AC972" i="1"/>
  <c r="J975" i="1" s="1"/>
  <c r="I978" i="1" s="1"/>
  <c r="AB972" i="1"/>
  <c r="E972" i="1"/>
  <c r="D972" i="1"/>
  <c r="C972" i="1"/>
  <c r="B972" i="1"/>
  <c r="K970" i="1"/>
  <c r="H970" i="1"/>
  <c r="G970" i="1"/>
  <c r="E970" i="1"/>
  <c r="E969" i="1"/>
  <c r="E968" i="1"/>
  <c r="J967" i="1"/>
  <c r="I967" i="1"/>
  <c r="H967" i="1"/>
  <c r="G967" i="1"/>
  <c r="F967" i="1"/>
  <c r="C966" i="1"/>
  <c r="AG965" i="1"/>
  <c r="AF965" i="1"/>
  <c r="AE965" i="1"/>
  <c r="J969" i="1" s="1"/>
  <c r="AD965" i="1"/>
  <c r="AC965" i="1"/>
  <c r="J968" i="1" s="1"/>
  <c r="AB965" i="1"/>
  <c r="E965" i="1"/>
  <c r="D965" i="1"/>
  <c r="C965" i="1"/>
  <c r="B965" i="1"/>
  <c r="J963" i="1"/>
  <c r="I964" i="1" s="1"/>
  <c r="I963" i="1"/>
  <c r="H963" i="1"/>
  <c r="G963" i="1"/>
  <c r="F963" i="1"/>
  <c r="AG962" i="1"/>
  <c r="AF962" i="1"/>
  <c r="AE962" i="1"/>
  <c r="AD962" i="1"/>
  <c r="AC962" i="1"/>
  <c r="AB962" i="1"/>
  <c r="E962" i="1"/>
  <c r="D962" i="1"/>
  <c r="C962" i="1"/>
  <c r="B962" i="1"/>
  <c r="A961" i="1"/>
  <c r="AQ958" i="1"/>
  <c r="A958" i="1"/>
  <c r="K955" i="1"/>
  <c r="H955" i="1"/>
  <c r="G955" i="1"/>
  <c r="E955" i="1"/>
  <c r="E954" i="1"/>
  <c r="E953" i="1"/>
  <c r="J952" i="1"/>
  <c r="I952" i="1"/>
  <c r="H952" i="1"/>
  <c r="G952" i="1"/>
  <c r="F952" i="1"/>
  <c r="C951" i="1"/>
  <c r="AG950" i="1"/>
  <c r="AF950" i="1"/>
  <c r="AE950" i="1"/>
  <c r="J954" i="1" s="1"/>
  <c r="AD950" i="1"/>
  <c r="AC950" i="1"/>
  <c r="J953" i="1" s="1"/>
  <c r="AB950" i="1"/>
  <c r="E950" i="1"/>
  <c r="D950" i="1"/>
  <c r="C950" i="1"/>
  <c r="B950" i="1"/>
  <c r="I949" i="1"/>
  <c r="AA949" i="1" s="1"/>
  <c r="AG948" i="1"/>
  <c r="AF948" i="1"/>
  <c r="AE948" i="1"/>
  <c r="AD948" i="1"/>
  <c r="AC948" i="1"/>
  <c r="AB948" i="1"/>
  <c r="J948" i="1"/>
  <c r="I948" i="1"/>
  <c r="H948" i="1"/>
  <c r="F948" i="1"/>
  <c r="E948" i="1"/>
  <c r="D948" i="1"/>
  <c r="C948" i="1"/>
  <c r="B948" i="1"/>
  <c r="J947" i="1"/>
  <c r="I947" i="1"/>
  <c r="H947" i="1"/>
  <c r="G947" i="1"/>
  <c r="F947" i="1"/>
  <c r="AG946" i="1"/>
  <c r="AF946" i="1"/>
  <c r="AE946" i="1"/>
  <c r="AD946" i="1"/>
  <c r="AC946" i="1"/>
  <c r="AB946" i="1"/>
  <c r="E946" i="1"/>
  <c r="D946" i="1"/>
  <c r="C946" i="1"/>
  <c r="B946" i="1"/>
  <c r="AP945" i="1"/>
  <c r="A945" i="1"/>
  <c r="AQ942" i="1"/>
  <c r="A942" i="1"/>
  <c r="K939" i="1"/>
  <c r="H939" i="1"/>
  <c r="G939" i="1"/>
  <c r="E939" i="1"/>
  <c r="E938" i="1"/>
  <c r="J937" i="1"/>
  <c r="E937" i="1"/>
  <c r="J936" i="1"/>
  <c r="I936" i="1"/>
  <c r="H936" i="1"/>
  <c r="G936" i="1"/>
  <c r="F936" i="1"/>
  <c r="J935" i="1"/>
  <c r="I935" i="1"/>
  <c r="H935" i="1"/>
  <c r="G935" i="1"/>
  <c r="F935" i="1"/>
  <c r="C934" i="1"/>
  <c r="AG933" i="1"/>
  <c r="AF933" i="1"/>
  <c r="AE933" i="1"/>
  <c r="J938" i="1" s="1"/>
  <c r="AD933" i="1"/>
  <c r="AC933" i="1"/>
  <c r="AB933" i="1"/>
  <c r="E933" i="1"/>
  <c r="D933" i="1"/>
  <c r="C933" i="1"/>
  <c r="B933" i="1"/>
  <c r="AG931" i="1"/>
  <c r="AF931" i="1"/>
  <c r="AE931" i="1"/>
  <c r="AD931" i="1"/>
  <c r="AC931" i="1"/>
  <c r="AB931" i="1"/>
  <c r="J931" i="1"/>
  <c r="I931" i="1"/>
  <c r="H931" i="1"/>
  <c r="F931" i="1"/>
  <c r="E931" i="1"/>
  <c r="D931" i="1"/>
  <c r="C931" i="1"/>
  <c r="B931" i="1"/>
  <c r="J930" i="1"/>
  <c r="I932" i="1" s="1"/>
  <c r="I930" i="1"/>
  <c r="H930" i="1"/>
  <c r="G930" i="1"/>
  <c r="F930" i="1"/>
  <c r="AG929" i="1"/>
  <c r="AF929" i="1"/>
  <c r="AE929" i="1"/>
  <c r="AD929" i="1"/>
  <c r="AC929" i="1"/>
  <c r="AB929" i="1"/>
  <c r="E929" i="1"/>
  <c r="D929" i="1"/>
  <c r="C929" i="1"/>
  <c r="B929" i="1"/>
  <c r="K927" i="1"/>
  <c r="H927" i="1"/>
  <c r="G927" i="1"/>
  <c r="E927" i="1"/>
  <c r="E926" i="1"/>
  <c r="E925" i="1"/>
  <c r="J924" i="1"/>
  <c r="I924" i="1"/>
  <c r="H924" i="1"/>
  <c r="G924" i="1"/>
  <c r="F924" i="1"/>
  <c r="C923" i="1"/>
  <c r="AG922" i="1"/>
  <c r="AF922" i="1"/>
  <c r="AE922" i="1"/>
  <c r="J926" i="1" s="1"/>
  <c r="AD922" i="1"/>
  <c r="AC922" i="1"/>
  <c r="J925" i="1" s="1"/>
  <c r="AB922" i="1"/>
  <c r="E922" i="1"/>
  <c r="D922" i="1"/>
  <c r="C922" i="1"/>
  <c r="B922" i="1"/>
  <c r="K920" i="1"/>
  <c r="H920" i="1"/>
  <c r="G920" i="1"/>
  <c r="E920" i="1"/>
  <c r="E919" i="1"/>
  <c r="E918" i="1"/>
  <c r="J917" i="1"/>
  <c r="I917" i="1"/>
  <c r="H917" i="1"/>
  <c r="G917" i="1"/>
  <c r="F917" i="1"/>
  <c r="C916" i="1"/>
  <c r="AG915" i="1"/>
  <c r="AF915" i="1"/>
  <c r="AE915" i="1"/>
  <c r="J919" i="1" s="1"/>
  <c r="AD915" i="1"/>
  <c r="AC915" i="1"/>
  <c r="J918" i="1" s="1"/>
  <c r="I921" i="1" s="1"/>
  <c r="AB915" i="1"/>
  <c r="E915" i="1"/>
  <c r="D915" i="1"/>
  <c r="C915" i="1"/>
  <c r="B915" i="1"/>
  <c r="I914" i="1"/>
  <c r="AA914" i="1" s="1"/>
  <c r="J913" i="1"/>
  <c r="I913" i="1"/>
  <c r="H913" i="1"/>
  <c r="G913" i="1"/>
  <c r="F913" i="1"/>
  <c r="AG912" i="1"/>
  <c r="AF912" i="1"/>
  <c r="AE912" i="1"/>
  <c r="AD912" i="1"/>
  <c r="AC912" i="1"/>
  <c r="AB912" i="1"/>
  <c r="E912" i="1"/>
  <c r="D912" i="1"/>
  <c r="C912" i="1"/>
  <c r="B912" i="1"/>
  <c r="A911" i="1"/>
  <c r="AQ908" i="1"/>
  <c r="A908" i="1"/>
  <c r="K905" i="1"/>
  <c r="H905" i="1"/>
  <c r="G905" i="1"/>
  <c r="E905" i="1"/>
  <c r="J904" i="1"/>
  <c r="E904" i="1"/>
  <c r="E903" i="1"/>
  <c r="J902" i="1"/>
  <c r="I902" i="1"/>
  <c r="H902" i="1"/>
  <c r="G902" i="1"/>
  <c r="F902" i="1"/>
  <c r="J901" i="1"/>
  <c r="I901" i="1"/>
  <c r="H901" i="1"/>
  <c r="G901" i="1"/>
  <c r="F901" i="1"/>
  <c r="C900" i="1"/>
  <c r="AG899" i="1"/>
  <c r="AF899" i="1"/>
  <c r="AE899" i="1"/>
  <c r="AD899" i="1"/>
  <c r="AC899" i="1"/>
  <c r="J903" i="1" s="1"/>
  <c r="AB899" i="1"/>
  <c r="E899" i="1"/>
  <c r="D899" i="1"/>
  <c r="C899" i="1"/>
  <c r="B899" i="1"/>
  <c r="K897" i="1"/>
  <c r="H897" i="1"/>
  <c r="G897" i="1"/>
  <c r="E897" i="1"/>
  <c r="E896" i="1"/>
  <c r="E895" i="1"/>
  <c r="J894" i="1"/>
  <c r="I894" i="1"/>
  <c r="H894" i="1"/>
  <c r="G894" i="1"/>
  <c r="F894" i="1"/>
  <c r="C893" i="1"/>
  <c r="AG892" i="1"/>
  <c r="AF892" i="1"/>
  <c r="AE892" i="1"/>
  <c r="J896" i="1" s="1"/>
  <c r="AD892" i="1"/>
  <c r="AC892" i="1"/>
  <c r="J895" i="1" s="1"/>
  <c r="AB892" i="1"/>
  <c r="E892" i="1"/>
  <c r="D892" i="1"/>
  <c r="C892" i="1"/>
  <c r="B892" i="1"/>
  <c r="AG890" i="1"/>
  <c r="AF890" i="1"/>
  <c r="AE890" i="1"/>
  <c r="AD890" i="1"/>
  <c r="AC890" i="1"/>
  <c r="AB890" i="1"/>
  <c r="J890" i="1"/>
  <c r="I890" i="1"/>
  <c r="H890" i="1"/>
  <c r="F890" i="1"/>
  <c r="E890" i="1"/>
  <c r="D890" i="1"/>
  <c r="B890" i="1"/>
  <c r="J889" i="1"/>
  <c r="I891" i="1" s="1"/>
  <c r="I889" i="1"/>
  <c r="H889" i="1"/>
  <c r="G889" i="1"/>
  <c r="F889" i="1"/>
  <c r="AG888" i="1"/>
  <c r="AF888" i="1"/>
  <c r="AE888" i="1"/>
  <c r="AD888" i="1"/>
  <c r="AC888" i="1"/>
  <c r="AB888" i="1"/>
  <c r="E888" i="1"/>
  <c r="D888" i="1"/>
  <c r="C888" i="1"/>
  <c r="B888" i="1"/>
  <c r="AP887" i="1"/>
  <c r="A887" i="1"/>
  <c r="AQ884" i="1"/>
  <c r="A884" i="1"/>
  <c r="K881" i="1"/>
  <c r="H881" i="1"/>
  <c r="G881" i="1"/>
  <c r="E881" i="1"/>
  <c r="J880" i="1"/>
  <c r="E880" i="1"/>
  <c r="E879" i="1"/>
  <c r="J878" i="1"/>
  <c r="I878" i="1"/>
  <c r="H878" i="1"/>
  <c r="G878" i="1"/>
  <c r="F878" i="1"/>
  <c r="J877" i="1"/>
  <c r="I882" i="1" s="1"/>
  <c r="I877" i="1"/>
  <c r="H877" i="1"/>
  <c r="G877" i="1"/>
  <c r="F877" i="1"/>
  <c r="C876" i="1"/>
  <c r="AG875" i="1"/>
  <c r="AF875" i="1"/>
  <c r="AE875" i="1"/>
  <c r="AD875" i="1"/>
  <c r="AC875" i="1"/>
  <c r="J879" i="1" s="1"/>
  <c r="AB875" i="1"/>
  <c r="E875" i="1"/>
  <c r="D875" i="1"/>
  <c r="C875" i="1"/>
  <c r="B875" i="1"/>
  <c r="AG873" i="1"/>
  <c r="AF873" i="1"/>
  <c r="AE873" i="1"/>
  <c r="AD873" i="1"/>
  <c r="AC873" i="1"/>
  <c r="AB873" i="1"/>
  <c r="J873" i="1"/>
  <c r="I873" i="1"/>
  <c r="H873" i="1"/>
  <c r="F873" i="1"/>
  <c r="E873" i="1"/>
  <c r="D873" i="1"/>
  <c r="C873" i="1"/>
  <c r="B873" i="1"/>
  <c r="J872" i="1"/>
  <c r="I874" i="1" s="1"/>
  <c r="I872" i="1"/>
  <c r="H872" i="1"/>
  <c r="G872" i="1"/>
  <c r="F872" i="1"/>
  <c r="AG871" i="1"/>
  <c r="AF871" i="1"/>
  <c r="AE871" i="1"/>
  <c r="AD871" i="1"/>
  <c r="AC871" i="1"/>
  <c r="AB871" i="1"/>
  <c r="E871" i="1"/>
  <c r="D871" i="1"/>
  <c r="C871" i="1"/>
  <c r="B871" i="1"/>
  <c r="K869" i="1"/>
  <c r="H869" i="1"/>
  <c r="G869" i="1"/>
  <c r="E869" i="1"/>
  <c r="E868" i="1"/>
  <c r="E867" i="1"/>
  <c r="J866" i="1"/>
  <c r="I866" i="1"/>
  <c r="H866" i="1"/>
  <c r="G866" i="1"/>
  <c r="F866" i="1"/>
  <c r="C865" i="1"/>
  <c r="AG864" i="1"/>
  <c r="AF864" i="1"/>
  <c r="AE864" i="1"/>
  <c r="J868" i="1" s="1"/>
  <c r="AD864" i="1"/>
  <c r="AC864" i="1"/>
  <c r="J867" i="1" s="1"/>
  <c r="AB864" i="1"/>
  <c r="E864" i="1"/>
  <c r="D864" i="1"/>
  <c r="C864" i="1"/>
  <c r="B864" i="1"/>
  <c r="J862" i="1"/>
  <c r="I863" i="1" s="1"/>
  <c r="I862" i="1"/>
  <c r="H862" i="1"/>
  <c r="G862" i="1"/>
  <c r="F862" i="1"/>
  <c r="AG861" i="1"/>
  <c r="AF861" i="1"/>
  <c r="AE861" i="1"/>
  <c r="AD861" i="1"/>
  <c r="AC861" i="1"/>
  <c r="AB861" i="1"/>
  <c r="E861" i="1"/>
  <c r="D861" i="1"/>
  <c r="C861" i="1"/>
  <c r="B861" i="1"/>
  <c r="AP860" i="1"/>
  <c r="A860" i="1"/>
  <c r="AQ857" i="1"/>
  <c r="A857" i="1"/>
  <c r="K854" i="1"/>
  <c r="H854" i="1"/>
  <c r="G854" i="1"/>
  <c r="E854" i="1"/>
  <c r="E853" i="1"/>
  <c r="J852" i="1"/>
  <c r="E852" i="1"/>
  <c r="J851" i="1"/>
  <c r="I851" i="1"/>
  <c r="H851" i="1"/>
  <c r="G851" i="1"/>
  <c r="F851" i="1"/>
  <c r="J850" i="1"/>
  <c r="I850" i="1"/>
  <c r="H850" i="1"/>
  <c r="G850" i="1"/>
  <c r="F850" i="1"/>
  <c r="C849" i="1"/>
  <c r="AG848" i="1"/>
  <c r="AF848" i="1"/>
  <c r="AE848" i="1"/>
  <c r="J853" i="1" s="1"/>
  <c r="AD848" i="1"/>
  <c r="AC848" i="1"/>
  <c r="AB848" i="1"/>
  <c r="E848" i="1"/>
  <c r="D848" i="1"/>
  <c r="C848" i="1"/>
  <c r="B848" i="1"/>
  <c r="AG846" i="1"/>
  <c r="AF846" i="1"/>
  <c r="AE846" i="1"/>
  <c r="AD846" i="1"/>
  <c r="AC846" i="1"/>
  <c r="AB846" i="1"/>
  <c r="J846" i="1"/>
  <c r="I846" i="1"/>
  <c r="H846" i="1"/>
  <c r="F846" i="1"/>
  <c r="E846" i="1"/>
  <c r="D846" i="1"/>
  <c r="C846" i="1"/>
  <c r="B846" i="1"/>
  <c r="J845" i="1"/>
  <c r="I847" i="1" s="1"/>
  <c r="I845" i="1"/>
  <c r="H845" i="1"/>
  <c r="G845" i="1"/>
  <c r="F845" i="1"/>
  <c r="AG844" i="1"/>
  <c r="AF844" i="1"/>
  <c r="AE844" i="1"/>
  <c r="AD844" i="1"/>
  <c r="AC844" i="1"/>
  <c r="AB844" i="1"/>
  <c r="E844" i="1"/>
  <c r="D844" i="1"/>
  <c r="C844" i="1"/>
  <c r="B844" i="1"/>
  <c r="K842" i="1"/>
  <c r="H842" i="1"/>
  <c r="G842" i="1"/>
  <c r="E842" i="1"/>
  <c r="E841" i="1"/>
  <c r="E840" i="1"/>
  <c r="J839" i="1"/>
  <c r="I839" i="1"/>
  <c r="H839" i="1"/>
  <c r="G839" i="1"/>
  <c r="F839" i="1"/>
  <c r="C838" i="1"/>
  <c r="AG837" i="1"/>
  <c r="AF837" i="1"/>
  <c r="AE837" i="1"/>
  <c r="J841" i="1" s="1"/>
  <c r="AD837" i="1"/>
  <c r="AC837" i="1"/>
  <c r="J840" i="1" s="1"/>
  <c r="AB837" i="1"/>
  <c r="E837" i="1"/>
  <c r="D837" i="1"/>
  <c r="C837" i="1"/>
  <c r="B837" i="1"/>
  <c r="K835" i="1"/>
  <c r="H835" i="1"/>
  <c r="G835" i="1"/>
  <c r="E835" i="1"/>
  <c r="E834" i="1"/>
  <c r="E833" i="1"/>
  <c r="J832" i="1"/>
  <c r="I832" i="1"/>
  <c r="H832" i="1"/>
  <c r="G832" i="1"/>
  <c r="F832" i="1"/>
  <c r="C831" i="1"/>
  <c r="AG830" i="1"/>
  <c r="AF830" i="1"/>
  <c r="AE830" i="1"/>
  <c r="J834" i="1" s="1"/>
  <c r="AD830" i="1"/>
  <c r="AC830" i="1"/>
  <c r="J833" i="1" s="1"/>
  <c r="I836" i="1" s="1"/>
  <c r="AB830" i="1"/>
  <c r="E830" i="1"/>
  <c r="D830" i="1"/>
  <c r="C830" i="1"/>
  <c r="B830" i="1"/>
  <c r="K828" i="1"/>
  <c r="H828" i="1"/>
  <c r="G828" i="1"/>
  <c r="E828" i="1"/>
  <c r="E827" i="1"/>
  <c r="E826" i="1"/>
  <c r="J825" i="1"/>
  <c r="I825" i="1"/>
  <c r="H825" i="1"/>
  <c r="G825" i="1"/>
  <c r="F825" i="1"/>
  <c r="C824" i="1"/>
  <c r="AG823" i="1"/>
  <c r="AF823" i="1"/>
  <c r="AE823" i="1"/>
  <c r="J827" i="1" s="1"/>
  <c r="AD823" i="1"/>
  <c r="AC823" i="1"/>
  <c r="J826" i="1" s="1"/>
  <c r="AB823" i="1"/>
  <c r="E823" i="1"/>
  <c r="D823" i="1"/>
  <c r="C823" i="1"/>
  <c r="B823" i="1"/>
  <c r="K821" i="1"/>
  <c r="H821" i="1"/>
  <c r="G821" i="1"/>
  <c r="E821" i="1"/>
  <c r="E820" i="1"/>
  <c r="E819" i="1"/>
  <c r="J818" i="1"/>
  <c r="I818" i="1"/>
  <c r="H818" i="1"/>
  <c r="G818" i="1"/>
  <c r="F818" i="1"/>
  <c r="C817" i="1"/>
  <c r="AG816" i="1"/>
  <c r="AF816" i="1"/>
  <c r="AE816" i="1"/>
  <c r="J820" i="1" s="1"/>
  <c r="AD816" i="1"/>
  <c r="AC816" i="1"/>
  <c r="J819" i="1" s="1"/>
  <c r="AB816" i="1"/>
  <c r="E816" i="1"/>
  <c r="D816" i="1"/>
  <c r="C816" i="1"/>
  <c r="B816" i="1"/>
  <c r="K814" i="1"/>
  <c r="H814" i="1"/>
  <c r="G814" i="1"/>
  <c r="E814" i="1"/>
  <c r="E813" i="1"/>
  <c r="E812" i="1"/>
  <c r="J811" i="1"/>
  <c r="I811" i="1"/>
  <c r="H811" i="1"/>
  <c r="G811" i="1"/>
  <c r="F811" i="1"/>
  <c r="C810" i="1"/>
  <c r="AG809" i="1"/>
  <c r="AF809" i="1"/>
  <c r="AE809" i="1"/>
  <c r="J813" i="1" s="1"/>
  <c r="AD809" i="1"/>
  <c r="AC809" i="1"/>
  <c r="J812" i="1" s="1"/>
  <c r="AB809" i="1"/>
  <c r="E809" i="1"/>
  <c r="D809" i="1"/>
  <c r="C809" i="1"/>
  <c r="B809" i="1"/>
  <c r="K808" i="1"/>
  <c r="I808" i="1"/>
  <c r="AA808" i="1" s="1"/>
  <c r="J807" i="1"/>
  <c r="I807" i="1"/>
  <c r="H807" i="1"/>
  <c r="G807" i="1"/>
  <c r="F807" i="1"/>
  <c r="AG806" i="1"/>
  <c r="AF806" i="1"/>
  <c r="AE806" i="1"/>
  <c r="AD806" i="1"/>
  <c r="AC806" i="1"/>
  <c r="AB806" i="1"/>
  <c r="E806" i="1"/>
  <c r="D806" i="1"/>
  <c r="C806" i="1"/>
  <c r="B806" i="1"/>
  <c r="AP805" i="1"/>
  <c r="A805" i="1"/>
  <c r="A802" i="1"/>
  <c r="K799" i="1"/>
  <c r="H799" i="1"/>
  <c r="G799" i="1"/>
  <c r="E799" i="1"/>
  <c r="J798" i="1"/>
  <c r="E798" i="1"/>
  <c r="E797" i="1"/>
  <c r="J796" i="1"/>
  <c r="I796" i="1"/>
  <c r="H796" i="1"/>
  <c r="G796" i="1"/>
  <c r="F796" i="1"/>
  <c r="J795" i="1"/>
  <c r="I795" i="1"/>
  <c r="H795" i="1"/>
  <c r="G795" i="1"/>
  <c r="F795" i="1"/>
  <c r="C794" i="1"/>
  <c r="AG793" i="1"/>
  <c r="AF793" i="1"/>
  <c r="AE793" i="1"/>
  <c r="AD793" i="1"/>
  <c r="AC793" i="1"/>
  <c r="J797" i="1" s="1"/>
  <c r="I800" i="1" s="1"/>
  <c r="AB793" i="1"/>
  <c r="E793" i="1"/>
  <c r="D793" i="1"/>
  <c r="C793" i="1"/>
  <c r="B793" i="1"/>
  <c r="I792" i="1"/>
  <c r="AA792" i="1" s="1"/>
  <c r="AG791" i="1"/>
  <c r="AF791" i="1"/>
  <c r="AE791" i="1"/>
  <c r="AD791" i="1"/>
  <c r="AC791" i="1"/>
  <c r="AB791" i="1"/>
  <c r="J791" i="1"/>
  <c r="I791" i="1"/>
  <c r="H791" i="1"/>
  <c r="F791" i="1"/>
  <c r="E791" i="1"/>
  <c r="D791" i="1"/>
  <c r="C791" i="1"/>
  <c r="B791" i="1"/>
  <c r="J790" i="1"/>
  <c r="I790" i="1"/>
  <c r="H790" i="1"/>
  <c r="G790" i="1"/>
  <c r="F790" i="1"/>
  <c r="AG789" i="1"/>
  <c r="AF789" i="1"/>
  <c r="AE789" i="1"/>
  <c r="AD789" i="1"/>
  <c r="AC789" i="1"/>
  <c r="AB789" i="1"/>
  <c r="E789" i="1"/>
  <c r="D789" i="1"/>
  <c r="C789" i="1"/>
  <c r="B789" i="1"/>
  <c r="K787" i="1"/>
  <c r="H787" i="1"/>
  <c r="G787" i="1"/>
  <c r="E787" i="1"/>
  <c r="E786" i="1"/>
  <c r="E785" i="1"/>
  <c r="J784" i="1"/>
  <c r="I784" i="1"/>
  <c r="H784" i="1"/>
  <c r="G784" i="1"/>
  <c r="F784" i="1"/>
  <c r="C783" i="1"/>
  <c r="AG782" i="1"/>
  <c r="AF782" i="1"/>
  <c r="AE782" i="1"/>
  <c r="J786" i="1" s="1"/>
  <c r="AD782" i="1"/>
  <c r="AC782" i="1"/>
  <c r="J785" i="1" s="1"/>
  <c r="AB782" i="1"/>
  <c r="E782" i="1"/>
  <c r="D782" i="1"/>
  <c r="C782" i="1"/>
  <c r="B782" i="1"/>
  <c r="K780" i="1"/>
  <c r="H780" i="1"/>
  <c r="G780" i="1"/>
  <c r="E780" i="1"/>
  <c r="E779" i="1"/>
  <c r="E778" i="1"/>
  <c r="J777" i="1"/>
  <c r="I777" i="1"/>
  <c r="H777" i="1"/>
  <c r="G777" i="1"/>
  <c r="F777" i="1"/>
  <c r="C776" i="1"/>
  <c r="AG775" i="1"/>
  <c r="AF775" i="1"/>
  <c r="AE775" i="1"/>
  <c r="J779" i="1" s="1"/>
  <c r="AD775" i="1"/>
  <c r="AC775" i="1"/>
  <c r="J778" i="1" s="1"/>
  <c r="AB775" i="1"/>
  <c r="E775" i="1"/>
  <c r="D775" i="1"/>
  <c r="C775" i="1"/>
  <c r="B775" i="1"/>
  <c r="J773" i="1"/>
  <c r="I774" i="1" s="1"/>
  <c r="I773" i="1"/>
  <c r="H773" i="1"/>
  <c r="G773" i="1"/>
  <c r="F773" i="1"/>
  <c r="AG772" i="1"/>
  <c r="AF772" i="1"/>
  <c r="AE772" i="1"/>
  <c r="AD772" i="1"/>
  <c r="AC772" i="1"/>
  <c r="AB772" i="1"/>
  <c r="E772" i="1"/>
  <c r="D772" i="1"/>
  <c r="C772" i="1"/>
  <c r="B772" i="1"/>
  <c r="A771" i="1"/>
  <c r="AQ768" i="1"/>
  <c r="A768" i="1"/>
  <c r="A765" i="1"/>
  <c r="K762" i="1"/>
  <c r="H762" i="1"/>
  <c r="G762" i="1"/>
  <c r="E762" i="1"/>
  <c r="J761" i="1"/>
  <c r="E761" i="1"/>
  <c r="E760" i="1"/>
  <c r="J759" i="1"/>
  <c r="I759" i="1"/>
  <c r="H759" i="1"/>
  <c r="G759" i="1"/>
  <c r="F759" i="1"/>
  <c r="J758" i="1"/>
  <c r="I758" i="1"/>
  <c r="H758" i="1"/>
  <c r="G758" i="1"/>
  <c r="F758" i="1"/>
  <c r="C757" i="1"/>
  <c r="AG756" i="1"/>
  <c r="AF756" i="1"/>
  <c r="AE756" i="1"/>
  <c r="AD756" i="1"/>
  <c r="AC756" i="1"/>
  <c r="J760" i="1" s="1"/>
  <c r="I763" i="1" s="1"/>
  <c r="AB756" i="1"/>
  <c r="E756" i="1"/>
  <c r="D756" i="1"/>
  <c r="C756" i="1"/>
  <c r="B756" i="1"/>
  <c r="A755" i="1"/>
  <c r="A752" i="1"/>
  <c r="I750" i="1"/>
  <c r="AA750" i="1" s="1"/>
  <c r="I752" i="1" s="1"/>
  <c r="J749" i="1"/>
  <c r="I749" i="1"/>
  <c r="H749" i="1"/>
  <c r="G749" i="1"/>
  <c r="F749" i="1"/>
  <c r="AG748" i="1"/>
  <c r="AF748" i="1"/>
  <c r="AE748" i="1"/>
  <c r="AD748" i="1"/>
  <c r="AC748" i="1"/>
  <c r="AB748" i="1"/>
  <c r="E748" i="1"/>
  <c r="D748" i="1"/>
  <c r="C748" i="1"/>
  <c r="B748" i="1"/>
  <c r="A747" i="1"/>
  <c r="A744" i="1"/>
  <c r="AG741" i="1"/>
  <c r="AF741" i="1"/>
  <c r="AE741" i="1"/>
  <c r="AD741" i="1"/>
  <c r="AC741" i="1"/>
  <c r="AB741" i="1"/>
  <c r="J741" i="1"/>
  <c r="I741" i="1"/>
  <c r="H741" i="1"/>
  <c r="F741" i="1"/>
  <c r="E741" i="1"/>
  <c r="D741" i="1"/>
  <c r="C741" i="1"/>
  <c r="B741" i="1"/>
  <c r="J740" i="1"/>
  <c r="I742" i="1" s="1"/>
  <c r="I740" i="1"/>
  <c r="H740" i="1"/>
  <c r="G740" i="1"/>
  <c r="F740" i="1"/>
  <c r="AG739" i="1"/>
  <c r="AF739" i="1"/>
  <c r="AE739" i="1"/>
  <c r="AD739" i="1"/>
  <c r="AC739" i="1"/>
  <c r="AB739" i="1"/>
  <c r="E739" i="1"/>
  <c r="D739" i="1"/>
  <c r="C739" i="1"/>
  <c r="B739" i="1"/>
  <c r="K737" i="1"/>
  <c r="H737" i="1"/>
  <c r="G737" i="1"/>
  <c r="E737" i="1"/>
  <c r="E736" i="1"/>
  <c r="E735" i="1"/>
  <c r="J734" i="1"/>
  <c r="I734" i="1"/>
  <c r="H734" i="1"/>
  <c r="G734" i="1"/>
  <c r="F734" i="1"/>
  <c r="C733" i="1"/>
  <c r="AG732" i="1"/>
  <c r="AF732" i="1"/>
  <c r="AE732" i="1"/>
  <c r="J736" i="1" s="1"/>
  <c r="AD732" i="1"/>
  <c r="AC732" i="1"/>
  <c r="J735" i="1" s="1"/>
  <c r="AB732" i="1"/>
  <c r="E732" i="1"/>
  <c r="D732" i="1"/>
  <c r="C732" i="1"/>
  <c r="B732" i="1"/>
  <c r="K730" i="1"/>
  <c r="H730" i="1"/>
  <c r="G730" i="1"/>
  <c r="E730" i="1"/>
  <c r="E729" i="1"/>
  <c r="E728" i="1"/>
  <c r="J727" i="1"/>
  <c r="I727" i="1"/>
  <c r="H727" i="1"/>
  <c r="G727" i="1"/>
  <c r="F727" i="1"/>
  <c r="C726" i="1"/>
  <c r="AG725" i="1"/>
  <c r="AF725" i="1"/>
  <c r="AE725" i="1"/>
  <c r="J729" i="1" s="1"/>
  <c r="AD725" i="1"/>
  <c r="AC725" i="1"/>
  <c r="J728" i="1" s="1"/>
  <c r="I731" i="1" s="1"/>
  <c r="AB725" i="1"/>
  <c r="E725" i="1"/>
  <c r="D725" i="1"/>
  <c r="C725" i="1"/>
  <c r="B725" i="1"/>
  <c r="I724" i="1"/>
  <c r="AA724" i="1" s="1"/>
  <c r="J723" i="1"/>
  <c r="I723" i="1"/>
  <c r="H723" i="1"/>
  <c r="G723" i="1"/>
  <c r="F723" i="1"/>
  <c r="AG722" i="1"/>
  <c r="AF722" i="1"/>
  <c r="AE722" i="1"/>
  <c r="AD722" i="1"/>
  <c r="AC722" i="1"/>
  <c r="AB722" i="1"/>
  <c r="E722" i="1"/>
  <c r="D722" i="1"/>
  <c r="C722" i="1"/>
  <c r="B722" i="1"/>
  <c r="A721" i="1"/>
  <c r="A718" i="1"/>
  <c r="AG715" i="1"/>
  <c r="AF715" i="1"/>
  <c r="AE715" i="1"/>
  <c r="AD715" i="1"/>
  <c r="AC715" i="1"/>
  <c r="AB715" i="1"/>
  <c r="J715" i="1"/>
  <c r="I715" i="1"/>
  <c r="H715" i="1"/>
  <c r="F715" i="1"/>
  <c r="E715" i="1"/>
  <c r="D715" i="1"/>
  <c r="C715" i="1"/>
  <c r="B715" i="1"/>
  <c r="J714" i="1"/>
  <c r="I716" i="1" s="1"/>
  <c r="I714" i="1"/>
  <c r="H714" i="1"/>
  <c r="G714" i="1"/>
  <c r="F714" i="1"/>
  <c r="AG713" i="1"/>
  <c r="AF713" i="1"/>
  <c r="AE713" i="1"/>
  <c r="AD713" i="1"/>
  <c r="AC713" i="1"/>
  <c r="AB713" i="1"/>
  <c r="E713" i="1"/>
  <c r="D713" i="1"/>
  <c r="C713" i="1"/>
  <c r="B713" i="1"/>
  <c r="K711" i="1"/>
  <c r="H711" i="1"/>
  <c r="G711" i="1"/>
  <c r="E711" i="1"/>
  <c r="E710" i="1"/>
  <c r="E709" i="1"/>
  <c r="J708" i="1"/>
  <c r="I708" i="1"/>
  <c r="H708" i="1"/>
  <c r="G708" i="1"/>
  <c r="F708" i="1"/>
  <c r="C707" i="1"/>
  <c r="AG706" i="1"/>
  <c r="AF706" i="1"/>
  <c r="AE706" i="1"/>
  <c r="J710" i="1" s="1"/>
  <c r="AD706" i="1"/>
  <c r="AC706" i="1"/>
  <c r="J709" i="1" s="1"/>
  <c r="AB706" i="1"/>
  <c r="E706" i="1"/>
  <c r="D706" i="1"/>
  <c r="C706" i="1"/>
  <c r="B706" i="1"/>
  <c r="K704" i="1"/>
  <c r="H704" i="1"/>
  <c r="G704" i="1"/>
  <c r="E704" i="1"/>
  <c r="E703" i="1"/>
  <c r="E702" i="1"/>
  <c r="J701" i="1"/>
  <c r="I701" i="1"/>
  <c r="H701" i="1"/>
  <c r="G701" i="1"/>
  <c r="F701" i="1"/>
  <c r="C700" i="1"/>
  <c r="AG699" i="1"/>
  <c r="AF699" i="1"/>
  <c r="AE699" i="1"/>
  <c r="J703" i="1" s="1"/>
  <c r="AD699" i="1"/>
  <c r="AC699" i="1"/>
  <c r="J702" i="1" s="1"/>
  <c r="I705" i="1" s="1"/>
  <c r="AB699" i="1"/>
  <c r="E699" i="1"/>
  <c r="D699" i="1"/>
  <c r="C699" i="1"/>
  <c r="B699" i="1"/>
  <c r="J697" i="1"/>
  <c r="E697" i="1"/>
  <c r="J696" i="1"/>
  <c r="I696" i="1"/>
  <c r="H696" i="1"/>
  <c r="G696" i="1"/>
  <c r="F696" i="1"/>
  <c r="J695" i="1"/>
  <c r="I698" i="1" s="1"/>
  <c r="I695" i="1"/>
  <c r="H695" i="1"/>
  <c r="G695" i="1"/>
  <c r="F695" i="1"/>
  <c r="C694" i="1"/>
  <c r="AG693" i="1"/>
  <c r="AF693" i="1"/>
  <c r="AE693" i="1"/>
  <c r="AD693" i="1"/>
  <c r="AC693" i="1"/>
  <c r="AB693" i="1"/>
  <c r="E693" i="1"/>
  <c r="D693" i="1"/>
  <c r="C693" i="1"/>
  <c r="B693" i="1"/>
  <c r="J691" i="1"/>
  <c r="I692" i="1" s="1"/>
  <c r="I691" i="1"/>
  <c r="H691" i="1"/>
  <c r="G691" i="1"/>
  <c r="F691" i="1"/>
  <c r="AG690" i="1"/>
  <c r="AF690" i="1"/>
  <c r="AE690" i="1"/>
  <c r="AD690" i="1"/>
  <c r="AC690" i="1"/>
  <c r="AB690" i="1"/>
  <c r="E690" i="1"/>
  <c r="D690" i="1"/>
  <c r="C690" i="1"/>
  <c r="B690" i="1"/>
  <c r="A689" i="1"/>
  <c r="AP687" i="1"/>
  <c r="A687" i="1"/>
  <c r="AQ684" i="1"/>
  <c r="A684" i="1"/>
  <c r="K681" i="1"/>
  <c r="H681" i="1"/>
  <c r="G681" i="1"/>
  <c r="E681" i="1"/>
  <c r="J680" i="1"/>
  <c r="E680" i="1"/>
  <c r="E679" i="1"/>
  <c r="J678" i="1"/>
  <c r="I678" i="1"/>
  <c r="H678" i="1"/>
  <c r="G678" i="1"/>
  <c r="F678" i="1"/>
  <c r="J677" i="1"/>
  <c r="I682" i="1" s="1"/>
  <c r="I677" i="1"/>
  <c r="H677" i="1"/>
  <c r="G677" i="1"/>
  <c r="F677" i="1"/>
  <c r="C676" i="1"/>
  <c r="AG675" i="1"/>
  <c r="AF675" i="1"/>
  <c r="AE675" i="1"/>
  <c r="AD675" i="1"/>
  <c r="AC675" i="1"/>
  <c r="J679" i="1" s="1"/>
  <c r="AB675" i="1"/>
  <c r="E675" i="1"/>
  <c r="D675" i="1"/>
  <c r="C675" i="1"/>
  <c r="B675" i="1"/>
  <c r="AG673" i="1"/>
  <c r="AF673" i="1"/>
  <c r="AE673" i="1"/>
  <c r="AD673" i="1"/>
  <c r="AC673" i="1"/>
  <c r="AB673" i="1"/>
  <c r="J673" i="1"/>
  <c r="I673" i="1"/>
  <c r="H673" i="1"/>
  <c r="F673" i="1"/>
  <c r="E673" i="1"/>
  <c r="D673" i="1"/>
  <c r="C673" i="1"/>
  <c r="B673" i="1"/>
  <c r="J672" i="1"/>
  <c r="I674" i="1" s="1"/>
  <c r="I672" i="1"/>
  <c r="H672" i="1"/>
  <c r="G672" i="1"/>
  <c r="F672" i="1"/>
  <c r="AG671" i="1"/>
  <c r="AF671" i="1"/>
  <c r="AE671" i="1"/>
  <c r="AD671" i="1"/>
  <c r="AC671" i="1"/>
  <c r="AB671" i="1"/>
  <c r="E671" i="1"/>
  <c r="D671" i="1"/>
  <c r="C671" i="1"/>
  <c r="B671" i="1"/>
  <c r="K669" i="1"/>
  <c r="H669" i="1"/>
  <c r="G669" i="1"/>
  <c r="E669" i="1"/>
  <c r="E668" i="1"/>
  <c r="E667" i="1"/>
  <c r="J666" i="1"/>
  <c r="I666" i="1"/>
  <c r="H666" i="1"/>
  <c r="G666" i="1"/>
  <c r="F666" i="1"/>
  <c r="C665" i="1"/>
  <c r="AG664" i="1"/>
  <c r="AF664" i="1"/>
  <c r="AE664" i="1"/>
  <c r="J668" i="1" s="1"/>
  <c r="AD664" i="1"/>
  <c r="AC664" i="1"/>
  <c r="J667" i="1" s="1"/>
  <c r="AB664" i="1"/>
  <c r="E664" i="1"/>
  <c r="D664" i="1"/>
  <c r="C664" i="1"/>
  <c r="B664" i="1"/>
  <c r="K662" i="1"/>
  <c r="H662" i="1"/>
  <c r="G662" i="1"/>
  <c r="E662" i="1"/>
  <c r="E661" i="1"/>
  <c r="J660" i="1"/>
  <c r="E660" i="1"/>
  <c r="E659" i="1"/>
  <c r="J658" i="1"/>
  <c r="I658" i="1"/>
  <c r="H658" i="1"/>
  <c r="G658" i="1"/>
  <c r="F658" i="1"/>
  <c r="J657" i="1"/>
  <c r="I657" i="1"/>
  <c r="H657" i="1"/>
  <c r="G657" i="1"/>
  <c r="F657" i="1"/>
  <c r="J656" i="1"/>
  <c r="I656" i="1"/>
  <c r="H656" i="1"/>
  <c r="G656" i="1"/>
  <c r="F656" i="1"/>
  <c r="C655" i="1"/>
  <c r="AG654" i="1"/>
  <c r="J661" i="1" s="1"/>
  <c r="AF654" i="1"/>
  <c r="AE654" i="1"/>
  <c r="AD654" i="1"/>
  <c r="AC654" i="1"/>
  <c r="J659" i="1" s="1"/>
  <c r="AB654" i="1"/>
  <c r="E654" i="1"/>
  <c r="D654" i="1"/>
  <c r="C654" i="1"/>
  <c r="B654" i="1"/>
  <c r="K652" i="1"/>
  <c r="H652" i="1"/>
  <c r="G652" i="1"/>
  <c r="E652" i="1"/>
  <c r="E651" i="1"/>
  <c r="E650" i="1"/>
  <c r="J649" i="1"/>
  <c r="I649" i="1"/>
  <c r="H649" i="1"/>
  <c r="G649" i="1"/>
  <c r="F649" i="1"/>
  <c r="C648" i="1"/>
  <c r="AG647" i="1"/>
  <c r="AF647" i="1"/>
  <c r="AE647" i="1"/>
  <c r="J651" i="1" s="1"/>
  <c r="AD647" i="1"/>
  <c r="AC647" i="1"/>
  <c r="J650" i="1" s="1"/>
  <c r="AB647" i="1"/>
  <c r="E647" i="1"/>
  <c r="D647" i="1"/>
  <c r="C647" i="1"/>
  <c r="B647" i="1"/>
  <c r="K645" i="1"/>
  <c r="H645" i="1"/>
  <c r="G645" i="1"/>
  <c r="E645" i="1"/>
  <c r="E644" i="1"/>
  <c r="E643" i="1"/>
  <c r="J642" i="1"/>
  <c r="I642" i="1"/>
  <c r="H642" i="1"/>
  <c r="G642" i="1"/>
  <c r="F642" i="1"/>
  <c r="C641" i="1"/>
  <c r="AG640" i="1"/>
  <c r="AF640" i="1"/>
  <c r="AE640" i="1"/>
  <c r="J644" i="1" s="1"/>
  <c r="AD640" i="1"/>
  <c r="AC640" i="1"/>
  <c r="J643" i="1" s="1"/>
  <c r="I646" i="1" s="1"/>
  <c r="AB640" i="1"/>
  <c r="E640" i="1"/>
  <c r="D640" i="1"/>
  <c r="C640" i="1"/>
  <c r="B640" i="1"/>
  <c r="K638" i="1"/>
  <c r="H638" i="1"/>
  <c r="G638" i="1"/>
  <c r="E638" i="1"/>
  <c r="E637" i="1"/>
  <c r="E636" i="1"/>
  <c r="J635" i="1"/>
  <c r="I635" i="1"/>
  <c r="H635" i="1"/>
  <c r="G635" i="1"/>
  <c r="F635" i="1"/>
  <c r="C634" i="1"/>
  <c r="AG633" i="1"/>
  <c r="AF633" i="1"/>
  <c r="AE633" i="1"/>
  <c r="J637" i="1" s="1"/>
  <c r="AD633" i="1"/>
  <c r="AC633" i="1"/>
  <c r="J636" i="1" s="1"/>
  <c r="AB633" i="1"/>
  <c r="E633" i="1"/>
  <c r="D633" i="1"/>
  <c r="C633" i="1"/>
  <c r="B633" i="1"/>
  <c r="K631" i="1"/>
  <c r="H631" i="1"/>
  <c r="G631" i="1"/>
  <c r="E631" i="1"/>
  <c r="E630" i="1"/>
  <c r="E629" i="1"/>
  <c r="J628" i="1"/>
  <c r="I628" i="1"/>
  <c r="H628" i="1"/>
  <c r="G628" i="1"/>
  <c r="F628" i="1"/>
  <c r="C627" i="1"/>
  <c r="AG626" i="1"/>
  <c r="AF626" i="1"/>
  <c r="AE626" i="1"/>
  <c r="J630" i="1" s="1"/>
  <c r="AD626" i="1"/>
  <c r="AC626" i="1"/>
  <c r="J629" i="1" s="1"/>
  <c r="AB626" i="1"/>
  <c r="E626" i="1"/>
  <c r="D626" i="1"/>
  <c r="C626" i="1"/>
  <c r="B626" i="1"/>
  <c r="K625" i="1"/>
  <c r="I625" i="1"/>
  <c r="AA625" i="1" s="1"/>
  <c r="J624" i="1"/>
  <c r="I624" i="1"/>
  <c r="H624" i="1"/>
  <c r="G624" i="1"/>
  <c r="F624" i="1"/>
  <c r="AG623" i="1"/>
  <c r="AF623" i="1"/>
  <c r="AE623" i="1"/>
  <c r="AD623" i="1"/>
  <c r="AC623" i="1"/>
  <c r="AB623" i="1"/>
  <c r="E623" i="1"/>
  <c r="D623" i="1"/>
  <c r="C623" i="1"/>
  <c r="B623" i="1"/>
  <c r="AP622" i="1"/>
  <c r="A622" i="1"/>
  <c r="AQ619" i="1"/>
  <c r="A619" i="1"/>
  <c r="K616" i="1"/>
  <c r="H616" i="1"/>
  <c r="G616" i="1"/>
  <c r="E616" i="1"/>
  <c r="J615" i="1"/>
  <c r="E615" i="1"/>
  <c r="J614" i="1"/>
  <c r="I617" i="1" s="1"/>
  <c r="E614" i="1"/>
  <c r="J613" i="1"/>
  <c r="I613" i="1"/>
  <c r="H613" i="1"/>
  <c r="G613" i="1"/>
  <c r="F613" i="1"/>
  <c r="J612" i="1"/>
  <c r="I612" i="1"/>
  <c r="H612" i="1"/>
  <c r="G612" i="1"/>
  <c r="F612" i="1"/>
  <c r="C611" i="1"/>
  <c r="AG610" i="1"/>
  <c r="AF610" i="1"/>
  <c r="AE610" i="1"/>
  <c r="AD610" i="1"/>
  <c r="AC610" i="1"/>
  <c r="AB610" i="1"/>
  <c r="E610" i="1"/>
  <c r="D610" i="1"/>
  <c r="C610" i="1"/>
  <c r="B610" i="1"/>
  <c r="AG608" i="1"/>
  <c r="AF608" i="1"/>
  <c r="AE608" i="1"/>
  <c r="AD608" i="1"/>
  <c r="AC608" i="1"/>
  <c r="AB608" i="1"/>
  <c r="J608" i="1"/>
  <c r="I608" i="1"/>
  <c r="H608" i="1"/>
  <c r="F608" i="1"/>
  <c r="E608" i="1"/>
  <c r="D608" i="1"/>
  <c r="C608" i="1"/>
  <c r="B608" i="1"/>
  <c r="J607" i="1"/>
  <c r="I609" i="1" s="1"/>
  <c r="I607" i="1"/>
  <c r="H607" i="1"/>
  <c r="G607" i="1"/>
  <c r="F607" i="1"/>
  <c r="AG606" i="1"/>
  <c r="AF606" i="1"/>
  <c r="AE606" i="1"/>
  <c r="AD606" i="1"/>
  <c r="AC606" i="1"/>
  <c r="AB606" i="1"/>
  <c r="E606" i="1"/>
  <c r="D606" i="1"/>
  <c r="C606" i="1"/>
  <c r="B606" i="1"/>
  <c r="K604" i="1"/>
  <c r="H604" i="1"/>
  <c r="G604" i="1"/>
  <c r="E604" i="1"/>
  <c r="E603" i="1"/>
  <c r="E602" i="1"/>
  <c r="J601" i="1"/>
  <c r="I601" i="1"/>
  <c r="H601" i="1"/>
  <c r="G601" i="1"/>
  <c r="F601" i="1"/>
  <c r="C600" i="1"/>
  <c r="AG599" i="1"/>
  <c r="AF599" i="1"/>
  <c r="AE599" i="1"/>
  <c r="J603" i="1" s="1"/>
  <c r="AD599" i="1"/>
  <c r="AC599" i="1"/>
  <c r="J602" i="1" s="1"/>
  <c r="I605" i="1" s="1"/>
  <c r="AB599" i="1"/>
  <c r="E599" i="1"/>
  <c r="D599" i="1"/>
  <c r="C599" i="1"/>
  <c r="B599" i="1"/>
  <c r="K597" i="1"/>
  <c r="H597" i="1"/>
  <c r="G597" i="1"/>
  <c r="E597" i="1"/>
  <c r="J596" i="1"/>
  <c r="E596" i="1"/>
  <c r="E595" i="1"/>
  <c r="J594" i="1"/>
  <c r="E594" i="1"/>
  <c r="J593" i="1"/>
  <c r="I593" i="1"/>
  <c r="H593" i="1"/>
  <c r="G593" i="1"/>
  <c r="F593" i="1"/>
  <c r="J592" i="1"/>
  <c r="I598" i="1" s="1"/>
  <c r="I592" i="1"/>
  <c r="H592" i="1"/>
  <c r="G592" i="1"/>
  <c r="F592" i="1"/>
  <c r="J591" i="1"/>
  <c r="I591" i="1"/>
  <c r="H591" i="1"/>
  <c r="G591" i="1"/>
  <c r="F591" i="1"/>
  <c r="C590" i="1"/>
  <c r="AG589" i="1"/>
  <c r="AF589" i="1"/>
  <c r="AE589" i="1"/>
  <c r="J595" i="1" s="1"/>
  <c r="AD589" i="1"/>
  <c r="AC589" i="1"/>
  <c r="AB589" i="1"/>
  <c r="E589" i="1"/>
  <c r="D589" i="1"/>
  <c r="C589" i="1"/>
  <c r="B589" i="1"/>
  <c r="K587" i="1"/>
  <c r="H587" i="1"/>
  <c r="G587" i="1"/>
  <c r="E587" i="1"/>
  <c r="E586" i="1"/>
  <c r="E585" i="1"/>
  <c r="J584" i="1"/>
  <c r="I584" i="1"/>
  <c r="H584" i="1"/>
  <c r="G584" i="1"/>
  <c r="F584" i="1"/>
  <c r="C583" i="1"/>
  <c r="AG582" i="1"/>
  <c r="AF582" i="1"/>
  <c r="AE582" i="1"/>
  <c r="J586" i="1" s="1"/>
  <c r="AD582" i="1"/>
  <c r="AC582" i="1"/>
  <c r="J585" i="1" s="1"/>
  <c r="AB582" i="1"/>
  <c r="E582" i="1"/>
  <c r="D582" i="1"/>
  <c r="C582" i="1"/>
  <c r="B582" i="1"/>
  <c r="K580" i="1"/>
  <c r="H580" i="1"/>
  <c r="G580" i="1"/>
  <c r="E580" i="1"/>
  <c r="E579" i="1"/>
  <c r="E578" i="1"/>
  <c r="J577" i="1"/>
  <c r="I577" i="1"/>
  <c r="H577" i="1"/>
  <c r="G577" i="1"/>
  <c r="F577" i="1"/>
  <c r="C576" i="1"/>
  <c r="AG575" i="1"/>
  <c r="AF575" i="1"/>
  <c r="AE575" i="1"/>
  <c r="J579" i="1" s="1"/>
  <c r="AD575" i="1"/>
  <c r="AC575" i="1"/>
  <c r="J578" i="1" s="1"/>
  <c r="I581" i="1" s="1"/>
  <c r="AB575" i="1"/>
  <c r="E575" i="1"/>
  <c r="D575" i="1"/>
  <c r="C575" i="1"/>
  <c r="B575" i="1"/>
  <c r="K573" i="1"/>
  <c r="H573" i="1"/>
  <c r="G573" i="1"/>
  <c r="E573" i="1"/>
  <c r="E572" i="1"/>
  <c r="E571" i="1"/>
  <c r="J570" i="1"/>
  <c r="I570" i="1"/>
  <c r="H570" i="1"/>
  <c r="G570" i="1"/>
  <c r="F570" i="1"/>
  <c r="C569" i="1"/>
  <c r="AG568" i="1"/>
  <c r="AF568" i="1"/>
  <c r="AE568" i="1"/>
  <c r="J572" i="1" s="1"/>
  <c r="AD568" i="1"/>
  <c r="AC568" i="1"/>
  <c r="J571" i="1" s="1"/>
  <c r="AB568" i="1"/>
  <c r="E568" i="1"/>
  <c r="D568" i="1"/>
  <c r="C568" i="1"/>
  <c r="B568" i="1"/>
  <c r="K566" i="1"/>
  <c r="H566" i="1"/>
  <c r="G566" i="1"/>
  <c r="E566" i="1"/>
  <c r="E565" i="1"/>
  <c r="E564" i="1"/>
  <c r="J563" i="1"/>
  <c r="I563" i="1"/>
  <c r="H563" i="1"/>
  <c r="G563" i="1"/>
  <c r="F563" i="1"/>
  <c r="C562" i="1"/>
  <c r="AG561" i="1"/>
  <c r="AF561" i="1"/>
  <c r="AE561" i="1"/>
  <c r="J565" i="1" s="1"/>
  <c r="AD561" i="1"/>
  <c r="AC561" i="1"/>
  <c r="J564" i="1" s="1"/>
  <c r="I567" i="1" s="1"/>
  <c r="AB561" i="1"/>
  <c r="E561" i="1"/>
  <c r="D561" i="1"/>
  <c r="C561" i="1"/>
  <c r="B561" i="1"/>
  <c r="J559" i="1"/>
  <c r="I560" i="1" s="1"/>
  <c r="I559" i="1"/>
  <c r="H559" i="1"/>
  <c r="G559" i="1"/>
  <c r="F559" i="1"/>
  <c r="AG558" i="1"/>
  <c r="AF558" i="1"/>
  <c r="AE558" i="1"/>
  <c r="AD558" i="1"/>
  <c r="AC558" i="1"/>
  <c r="AB558" i="1"/>
  <c r="E558" i="1"/>
  <c r="D558" i="1"/>
  <c r="C558" i="1"/>
  <c r="B558" i="1"/>
  <c r="AP557" i="1"/>
  <c r="A557" i="1"/>
  <c r="AQ554" i="1"/>
  <c r="A554" i="1"/>
  <c r="K551" i="1"/>
  <c r="H551" i="1"/>
  <c r="G551" i="1"/>
  <c r="E551" i="1"/>
  <c r="J550" i="1"/>
  <c r="E550" i="1"/>
  <c r="J549" i="1"/>
  <c r="E549" i="1"/>
  <c r="J548" i="1"/>
  <c r="I548" i="1"/>
  <c r="H548" i="1"/>
  <c r="G548" i="1"/>
  <c r="F548" i="1"/>
  <c r="J547" i="1"/>
  <c r="I552" i="1" s="1"/>
  <c r="I547" i="1"/>
  <c r="H547" i="1"/>
  <c r="G547" i="1"/>
  <c r="F547" i="1"/>
  <c r="C546" i="1"/>
  <c r="AG545" i="1"/>
  <c r="AF545" i="1"/>
  <c r="AE545" i="1"/>
  <c r="AD545" i="1"/>
  <c r="AC545" i="1"/>
  <c r="AB545" i="1"/>
  <c r="E545" i="1"/>
  <c r="D545" i="1"/>
  <c r="C545" i="1"/>
  <c r="B545" i="1"/>
  <c r="AG543" i="1"/>
  <c r="AF543" i="1"/>
  <c r="AE543" i="1"/>
  <c r="AD543" i="1"/>
  <c r="AC543" i="1"/>
  <c r="AB543" i="1"/>
  <c r="J543" i="1"/>
  <c r="I543" i="1"/>
  <c r="H543" i="1"/>
  <c r="F543" i="1"/>
  <c r="E543" i="1"/>
  <c r="D543" i="1"/>
  <c r="C543" i="1"/>
  <c r="B543" i="1"/>
  <c r="J542" i="1"/>
  <c r="I544" i="1" s="1"/>
  <c r="I542" i="1"/>
  <c r="H542" i="1"/>
  <c r="G542" i="1"/>
  <c r="F542" i="1"/>
  <c r="AG541" i="1"/>
  <c r="AF541" i="1"/>
  <c r="AE541" i="1"/>
  <c r="AD541" i="1"/>
  <c r="AC541" i="1"/>
  <c r="AB541" i="1"/>
  <c r="E541" i="1"/>
  <c r="D541" i="1"/>
  <c r="C541" i="1"/>
  <c r="B541" i="1"/>
  <c r="K539" i="1"/>
  <c r="H539" i="1"/>
  <c r="G539" i="1"/>
  <c r="E539" i="1"/>
  <c r="E538" i="1"/>
  <c r="E537" i="1"/>
  <c r="J536" i="1"/>
  <c r="I536" i="1"/>
  <c r="H536" i="1"/>
  <c r="G536" i="1"/>
  <c r="F536" i="1"/>
  <c r="C535" i="1"/>
  <c r="AG534" i="1"/>
  <c r="AF534" i="1"/>
  <c r="AE534" i="1"/>
  <c r="J538" i="1" s="1"/>
  <c r="AD534" i="1"/>
  <c r="AC534" i="1"/>
  <c r="J537" i="1" s="1"/>
  <c r="AB534" i="1"/>
  <c r="E534" i="1"/>
  <c r="D534" i="1"/>
  <c r="C534" i="1"/>
  <c r="B534" i="1"/>
  <c r="K532" i="1"/>
  <c r="H532" i="1"/>
  <c r="G532" i="1"/>
  <c r="E532" i="1"/>
  <c r="E531" i="1"/>
  <c r="J530" i="1"/>
  <c r="E530" i="1"/>
  <c r="E529" i="1"/>
  <c r="J528" i="1"/>
  <c r="I528" i="1"/>
  <c r="H528" i="1"/>
  <c r="G528" i="1"/>
  <c r="F528" i="1"/>
  <c r="J527" i="1"/>
  <c r="I533" i="1" s="1"/>
  <c r="I527" i="1"/>
  <c r="H527" i="1"/>
  <c r="G527" i="1"/>
  <c r="F527" i="1"/>
  <c r="J526" i="1"/>
  <c r="I526" i="1"/>
  <c r="H526" i="1"/>
  <c r="G526" i="1"/>
  <c r="F526" i="1"/>
  <c r="C525" i="1"/>
  <c r="AG524" i="1"/>
  <c r="J531" i="1" s="1"/>
  <c r="AF524" i="1"/>
  <c r="AE524" i="1"/>
  <c r="AD524" i="1"/>
  <c r="AC524" i="1"/>
  <c r="J529" i="1" s="1"/>
  <c r="AB524" i="1"/>
  <c r="E524" i="1"/>
  <c r="D524" i="1"/>
  <c r="C524" i="1"/>
  <c r="B524" i="1"/>
  <c r="K522" i="1"/>
  <c r="H522" i="1"/>
  <c r="G522" i="1"/>
  <c r="E522" i="1"/>
  <c r="E521" i="1"/>
  <c r="E520" i="1"/>
  <c r="J519" i="1"/>
  <c r="I519" i="1"/>
  <c r="H519" i="1"/>
  <c r="G519" i="1"/>
  <c r="F519" i="1"/>
  <c r="C518" i="1"/>
  <c r="AG517" i="1"/>
  <c r="AF517" i="1"/>
  <c r="AE517" i="1"/>
  <c r="J521" i="1" s="1"/>
  <c r="AD517" i="1"/>
  <c r="AC517" i="1"/>
  <c r="J520" i="1" s="1"/>
  <c r="I523" i="1" s="1"/>
  <c r="AB517" i="1"/>
  <c r="E517" i="1"/>
  <c r="D517" i="1"/>
  <c r="C517" i="1"/>
  <c r="B517" i="1"/>
  <c r="K515" i="1"/>
  <c r="H515" i="1"/>
  <c r="G515" i="1"/>
  <c r="E515" i="1"/>
  <c r="E514" i="1"/>
  <c r="E513" i="1"/>
  <c r="J512" i="1"/>
  <c r="I512" i="1"/>
  <c r="H512" i="1"/>
  <c r="G512" i="1"/>
  <c r="F512" i="1"/>
  <c r="C511" i="1"/>
  <c r="AG510" i="1"/>
  <c r="AF510" i="1"/>
  <c r="AE510" i="1"/>
  <c r="J514" i="1" s="1"/>
  <c r="AD510" i="1"/>
  <c r="AC510" i="1"/>
  <c r="J513" i="1" s="1"/>
  <c r="I516" i="1" s="1"/>
  <c r="AB510" i="1"/>
  <c r="E510" i="1"/>
  <c r="D510" i="1"/>
  <c r="C510" i="1"/>
  <c r="B510" i="1"/>
  <c r="K508" i="1"/>
  <c r="H508" i="1"/>
  <c r="G508" i="1"/>
  <c r="E508" i="1"/>
  <c r="E507" i="1"/>
  <c r="E506" i="1"/>
  <c r="J505" i="1"/>
  <c r="I505" i="1"/>
  <c r="H505" i="1"/>
  <c r="G505" i="1"/>
  <c r="F505" i="1"/>
  <c r="C504" i="1"/>
  <c r="AG503" i="1"/>
  <c r="AF503" i="1"/>
  <c r="AE503" i="1"/>
  <c r="J507" i="1" s="1"/>
  <c r="AD503" i="1"/>
  <c r="AC503" i="1"/>
  <c r="J506" i="1" s="1"/>
  <c r="AB503" i="1"/>
  <c r="E503" i="1"/>
  <c r="D503" i="1"/>
  <c r="C503" i="1"/>
  <c r="B503" i="1"/>
  <c r="K501" i="1"/>
  <c r="H501" i="1"/>
  <c r="G501" i="1"/>
  <c r="E501" i="1"/>
  <c r="E500" i="1"/>
  <c r="E499" i="1"/>
  <c r="J498" i="1"/>
  <c r="I498" i="1"/>
  <c r="H498" i="1"/>
  <c r="G498" i="1"/>
  <c r="F498" i="1"/>
  <c r="C497" i="1"/>
  <c r="AG496" i="1"/>
  <c r="AF496" i="1"/>
  <c r="AE496" i="1"/>
  <c r="J500" i="1" s="1"/>
  <c r="AD496" i="1"/>
  <c r="AC496" i="1"/>
  <c r="J499" i="1" s="1"/>
  <c r="AB496" i="1"/>
  <c r="E496" i="1"/>
  <c r="D496" i="1"/>
  <c r="C496" i="1"/>
  <c r="B496" i="1"/>
  <c r="J494" i="1"/>
  <c r="I495" i="1" s="1"/>
  <c r="AA495" i="1" s="1"/>
  <c r="I494" i="1"/>
  <c r="H494" i="1"/>
  <c r="G494" i="1"/>
  <c r="F494" i="1"/>
  <c r="AG493" i="1"/>
  <c r="AF493" i="1"/>
  <c r="AE493" i="1"/>
  <c r="AD493" i="1"/>
  <c r="AC493" i="1"/>
  <c r="AB493" i="1"/>
  <c r="E493" i="1"/>
  <c r="D493" i="1"/>
  <c r="C493" i="1"/>
  <c r="B493" i="1"/>
  <c r="AP492" i="1"/>
  <c r="A492" i="1"/>
  <c r="AQ489" i="1"/>
  <c r="A489" i="1"/>
  <c r="K486" i="1"/>
  <c r="H486" i="1"/>
  <c r="G486" i="1"/>
  <c r="E486" i="1"/>
  <c r="J485" i="1"/>
  <c r="E485" i="1"/>
  <c r="J484" i="1"/>
  <c r="E484" i="1"/>
  <c r="J483" i="1"/>
  <c r="I487" i="1" s="1"/>
  <c r="AA487" i="1" s="1"/>
  <c r="I483" i="1"/>
  <c r="H483" i="1"/>
  <c r="G483" i="1"/>
  <c r="F483" i="1"/>
  <c r="J482" i="1"/>
  <c r="I482" i="1"/>
  <c r="H482" i="1"/>
  <c r="G482" i="1"/>
  <c r="F482" i="1"/>
  <c r="C481" i="1"/>
  <c r="AG480" i="1"/>
  <c r="AF480" i="1"/>
  <c r="AE480" i="1"/>
  <c r="AD480" i="1"/>
  <c r="AC480" i="1"/>
  <c r="AB480" i="1"/>
  <c r="E480" i="1"/>
  <c r="D480" i="1"/>
  <c r="C480" i="1"/>
  <c r="B480" i="1"/>
  <c r="AG478" i="1"/>
  <c r="AF478" i="1"/>
  <c r="AE478" i="1"/>
  <c r="AD478" i="1"/>
  <c r="AC478" i="1"/>
  <c r="AB478" i="1"/>
  <c r="J478" i="1"/>
  <c r="I478" i="1"/>
  <c r="H478" i="1"/>
  <c r="F478" i="1"/>
  <c r="E478" i="1"/>
  <c r="D478" i="1"/>
  <c r="C478" i="1"/>
  <c r="B478" i="1"/>
  <c r="J477" i="1"/>
  <c r="I479" i="1" s="1"/>
  <c r="AA479" i="1" s="1"/>
  <c r="I477" i="1"/>
  <c r="H477" i="1"/>
  <c r="G477" i="1"/>
  <c r="F477" i="1"/>
  <c r="AG476" i="1"/>
  <c r="AF476" i="1"/>
  <c r="AE476" i="1"/>
  <c r="AD476" i="1"/>
  <c r="AC476" i="1"/>
  <c r="AB476" i="1"/>
  <c r="E476" i="1"/>
  <c r="D476" i="1"/>
  <c r="C476" i="1"/>
  <c r="B476" i="1"/>
  <c r="K474" i="1"/>
  <c r="H474" i="1"/>
  <c r="G474" i="1"/>
  <c r="E474" i="1"/>
  <c r="E473" i="1"/>
  <c r="E472" i="1"/>
  <c r="J471" i="1"/>
  <c r="I471" i="1"/>
  <c r="H471" i="1"/>
  <c r="G471" i="1"/>
  <c r="F471" i="1"/>
  <c r="C470" i="1"/>
  <c r="AG469" i="1"/>
  <c r="AF469" i="1"/>
  <c r="AE469" i="1"/>
  <c r="J473" i="1" s="1"/>
  <c r="AD469" i="1"/>
  <c r="AC469" i="1"/>
  <c r="J472" i="1" s="1"/>
  <c r="AB469" i="1"/>
  <c r="E469" i="1"/>
  <c r="D469" i="1"/>
  <c r="C469" i="1"/>
  <c r="B469" i="1"/>
  <c r="K467" i="1"/>
  <c r="H467" i="1"/>
  <c r="G467" i="1"/>
  <c r="E467" i="1"/>
  <c r="J466" i="1"/>
  <c r="E466" i="1"/>
  <c r="E465" i="1"/>
  <c r="J464" i="1"/>
  <c r="E464" i="1"/>
  <c r="J463" i="1"/>
  <c r="I463" i="1"/>
  <c r="H463" i="1"/>
  <c r="G463" i="1"/>
  <c r="F463" i="1"/>
  <c r="J462" i="1"/>
  <c r="I462" i="1"/>
  <c r="H462" i="1"/>
  <c r="G462" i="1"/>
  <c r="F462" i="1"/>
  <c r="J461" i="1"/>
  <c r="I468" i="1" s="1"/>
  <c r="I461" i="1"/>
  <c r="H461" i="1"/>
  <c r="G461" i="1"/>
  <c r="F461" i="1"/>
  <c r="C460" i="1"/>
  <c r="AG459" i="1"/>
  <c r="AF459" i="1"/>
  <c r="AE459" i="1"/>
  <c r="J465" i="1" s="1"/>
  <c r="AD459" i="1"/>
  <c r="AC459" i="1"/>
  <c r="AB459" i="1"/>
  <c r="E459" i="1"/>
  <c r="D459" i="1"/>
  <c r="C459" i="1"/>
  <c r="B459" i="1"/>
  <c r="K457" i="1"/>
  <c r="H457" i="1"/>
  <c r="G457" i="1"/>
  <c r="E457" i="1"/>
  <c r="E456" i="1"/>
  <c r="E455" i="1"/>
  <c r="J454" i="1"/>
  <c r="I454" i="1"/>
  <c r="H454" i="1"/>
  <c r="G454" i="1"/>
  <c r="F454" i="1"/>
  <c r="C453" i="1"/>
  <c r="AG452" i="1"/>
  <c r="AF452" i="1"/>
  <c r="AE452" i="1"/>
  <c r="J456" i="1" s="1"/>
  <c r="AD452" i="1"/>
  <c r="AC452" i="1"/>
  <c r="J455" i="1" s="1"/>
  <c r="AB452" i="1"/>
  <c r="E452" i="1"/>
  <c r="D452" i="1"/>
  <c r="C452" i="1"/>
  <c r="B452" i="1"/>
  <c r="K450" i="1"/>
  <c r="H450" i="1"/>
  <c r="G450" i="1"/>
  <c r="E450" i="1"/>
  <c r="E449" i="1"/>
  <c r="E448" i="1"/>
  <c r="J447" i="1"/>
  <c r="I447" i="1"/>
  <c r="H447" i="1"/>
  <c r="G447" i="1"/>
  <c r="F447" i="1"/>
  <c r="C446" i="1"/>
  <c r="AG445" i="1"/>
  <c r="AF445" i="1"/>
  <c r="AE445" i="1"/>
  <c r="J449" i="1" s="1"/>
  <c r="AD445" i="1"/>
  <c r="AC445" i="1"/>
  <c r="J448" i="1" s="1"/>
  <c r="I451" i="1" s="1"/>
  <c r="AB445" i="1"/>
  <c r="E445" i="1"/>
  <c r="D445" i="1"/>
  <c r="C445" i="1"/>
  <c r="B445" i="1"/>
  <c r="K443" i="1"/>
  <c r="H443" i="1"/>
  <c r="G443" i="1"/>
  <c r="E443" i="1"/>
  <c r="E442" i="1"/>
  <c r="E441" i="1"/>
  <c r="J440" i="1"/>
  <c r="I440" i="1"/>
  <c r="H440" i="1"/>
  <c r="G440" i="1"/>
  <c r="F440" i="1"/>
  <c r="C439" i="1"/>
  <c r="AG438" i="1"/>
  <c r="AF438" i="1"/>
  <c r="AE438" i="1"/>
  <c r="J442" i="1" s="1"/>
  <c r="AD438" i="1"/>
  <c r="AC438" i="1"/>
  <c r="J441" i="1" s="1"/>
  <c r="I444" i="1" s="1"/>
  <c r="AB438" i="1"/>
  <c r="E438" i="1"/>
  <c r="D438" i="1"/>
  <c r="C438" i="1"/>
  <c r="B438" i="1"/>
  <c r="K436" i="1"/>
  <c r="H436" i="1"/>
  <c r="G436" i="1"/>
  <c r="E436" i="1"/>
  <c r="E435" i="1"/>
  <c r="E434" i="1"/>
  <c r="J433" i="1"/>
  <c r="I433" i="1"/>
  <c r="H433" i="1"/>
  <c r="G433" i="1"/>
  <c r="F433" i="1"/>
  <c r="C432" i="1"/>
  <c r="AG431" i="1"/>
  <c r="AF431" i="1"/>
  <c r="AE431" i="1"/>
  <c r="J435" i="1" s="1"/>
  <c r="AD431" i="1"/>
  <c r="AC431" i="1"/>
  <c r="J434" i="1" s="1"/>
  <c r="AB431" i="1"/>
  <c r="E431" i="1"/>
  <c r="D431" i="1"/>
  <c r="C431" i="1"/>
  <c r="B431" i="1"/>
  <c r="I430" i="1"/>
  <c r="AA430" i="1" s="1"/>
  <c r="J429" i="1"/>
  <c r="I429" i="1"/>
  <c r="H429" i="1"/>
  <c r="G429" i="1"/>
  <c r="F429" i="1"/>
  <c r="AG428" i="1"/>
  <c r="AF428" i="1"/>
  <c r="AE428" i="1"/>
  <c r="AD428" i="1"/>
  <c r="AC428" i="1"/>
  <c r="AB428" i="1"/>
  <c r="E428" i="1"/>
  <c r="D428" i="1"/>
  <c r="C428" i="1"/>
  <c r="B428" i="1"/>
  <c r="A427" i="1"/>
  <c r="AQ424" i="1"/>
  <c r="A424" i="1"/>
  <c r="K421" i="1"/>
  <c r="H421" i="1"/>
  <c r="G421" i="1"/>
  <c r="E421" i="1"/>
  <c r="J420" i="1"/>
  <c r="E420" i="1"/>
  <c r="J419" i="1"/>
  <c r="E419" i="1"/>
  <c r="J418" i="1"/>
  <c r="I418" i="1"/>
  <c r="H418" i="1"/>
  <c r="G418" i="1"/>
  <c r="F418" i="1"/>
  <c r="J417" i="1"/>
  <c r="I422" i="1" s="1"/>
  <c r="I417" i="1"/>
  <c r="H417" i="1"/>
  <c r="G417" i="1"/>
  <c r="F417" i="1"/>
  <c r="C416" i="1"/>
  <c r="AG415" i="1"/>
  <c r="AF415" i="1"/>
  <c r="AE415" i="1"/>
  <c r="AD415" i="1"/>
  <c r="AC415" i="1"/>
  <c r="AB415" i="1"/>
  <c r="E415" i="1"/>
  <c r="D415" i="1"/>
  <c r="C415" i="1"/>
  <c r="B415" i="1"/>
  <c r="AG413" i="1"/>
  <c r="AF413" i="1"/>
  <c r="AE413" i="1"/>
  <c r="AD413" i="1"/>
  <c r="AC413" i="1"/>
  <c r="AB413" i="1"/>
  <c r="J413" i="1"/>
  <c r="I413" i="1"/>
  <c r="H413" i="1"/>
  <c r="F413" i="1"/>
  <c r="E413" i="1"/>
  <c r="D413" i="1"/>
  <c r="C413" i="1"/>
  <c r="B413" i="1"/>
  <c r="J412" i="1"/>
  <c r="I414" i="1" s="1"/>
  <c r="I412" i="1"/>
  <c r="H412" i="1"/>
  <c r="G412" i="1"/>
  <c r="F412" i="1"/>
  <c r="AG411" i="1"/>
  <c r="AF411" i="1"/>
  <c r="AE411" i="1"/>
  <c r="AD411" i="1"/>
  <c r="AC411" i="1"/>
  <c r="AB411" i="1"/>
  <c r="E411" i="1"/>
  <c r="D411" i="1"/>
  <c r="C411" i="1"/>
  <c r="B411" i="1"/>
  <c r="K409" i="1"/>
  <c r="H409" i="1"/>
  <c r="G409" i="1"/>
  <c r="E409" i="1"/>
  <c r="E408" i="1"/>
  <c r="E407" i="1"/>
  <c r="J406" i="1"/>
  <c r="I406" i="1"/>
  <c r="H406" i="1"/>
  <c r="G406" i="1"/>
  <c r="F406" i="1"/>
  <c r="C405" i="1"/>
  <c r="AG404" i="1"/>
  <c r="AF404" i="1"/>
  <c r="AE404" i="1"/>
  <c r="J408" i="1" s="1"/>
  <c r="AD404" i="1"/>
  <c r="AC404" i="1"/>
  <c r="J407" i="1" s="1"/>
  <c r="AB404" i="1"/>
  <c r="E404" i="1"/>
  <c r="D404" i="1"/>
  <c r="C404" i="1"/>
  <c r="B404" i="1"/>
  <c r="K402" i="1"/>
  <c r="H402" i="1"/>
  <c r="G402" i="1"/>
  <c r="E402" i="1"/>
  <c r="E401" i="1"/>
  <c r="J400" i="1"/>
  <c r="E400" i="1"/>
  <c r="E399" i="1"/>
  <c r="J398" i="1"/>
  <c r="I398" i="1"/>
  <c r="H398" i="1"/>
  <c r="G398" i="1"/>
  <c r="F398" i="1"/>
  <c r="J397" i="1"/>
  <c r="I403" i="1" s="1"/>
  <c r="I397" i="1"/>
  <c r="H397" i="1"/>
  <c r="G397" i="1"/>
  <c r="F397" i="1"/>
  <c r="J396" i="1"/>
  <c r="I396" i="1"/>
  <c r="H396" i="1"/>
  <c r="G396" i="1"/>
  <c r="F396" i="1"/>
  <c r="C395" i="1"/>
  <c r="AG394" i="1"/>
  <c r="J401" i="1" s="1"/>
  <c r="AF394" i="1"/>
  <c r="AE394" i="1"/>
  <c r="AD394" i="1"/>
  <c r="AC394" i="1"/>
  <c r="J399" i="1" s="1"/>
  <c r="AB394" i="1"/>
  <c r="E394" i="1"/>
  <c r="D394" i="1"/>
  <c r="C394" i="1"/>
  <c r="B394" i="1"/>
  <c r="K392" i="1"/>
  <c r="H392" i="1"/>
  <c r="G392" i="1"/>
  <c r="E392" i="1"/>
  <c r="E391" i="1"/>
  <c r="E390" i="1"/>
  <c r="J389" i="1"/>
  <c r="I389" i="1"/>
  <c r="H389" i="1"/>
  <c r="G389" i="1"/>
  <c r="F389" i="1"/>
  <c r="C388" i="1"/>
  <c r="AG387" i="1"/>
  <c r="AF387" i="1"/>
  <c r="AE387" i="1"/>
  <c r="J391" i="1" s="1"/>
  <c r="AD387" i="1"/>
  <c r="AC387" i="1"/>
  <c r="J390" i="1" s="1"/>
  <c r="AB387" i="1"/>
  <c r="E387" i="1"/>
  <c r="D387" i="1"/>
  <c r="C387" i="1"/>
  <c r="B387" i="1"/>
  <c r="K385" i="1"/>
  <c r="H385" i="1"/>
  <c r="G385" i="1"/>
  <c r="E385" i="1"/>
  <c r="E384" i="1"/>
  <c r="E383" i="1"/>
  <c r="J382" i="1"/>
  <c r="I382" i="1"/>
  <c r="H382" i="1"/>
  <c r="G382" i="1"/>
  <c r="F382" i="1"/>
  <c r="C381" i="1"/>
  <c r="AG380" i="1"/>
  <c r="AF380" i="1"/>
  <c r="AE380" i="1"/>
  <c r="J384" i="1" s="1"/>
  <c r="AD380" i="1"/>
  <c r="AC380" i="1"/>
  <c r="J383" i="1" s="1"/>
  <c r="I386" i="1" s="1"/>
  <c r="AB380" i="1"/>
  <c r="E380" i="1"/>
  <c r="D380" i="1"/>
  <c r="C380" i="1"/>
  <c r="B380" i="1"/>
  <c r="K378" i="1"/>
  <c r="H378" i="1"/>
  <c r="G378" i="1"/>
  <c r="E378" i="1"/>
  <c r="E377" i="1"/>
  <c r="E376" i="1"/>
  <c r="J375" i="1"/>
  <c r="I375" i="1"/>
  <c r="H375" i="1"/>
  <c r="G375" i="1"/>
  <c r="F375" i="1"/>
  <c r="C374" i="1"/>
  <c r="AG373" i="1"/>
  <c r="AF373" i="1"/>
  <c r="AE373" i="1"/>
  <c r="J377" i="1" s="1"/>
  <c r="AD373" i="1"/>
  <c r="AC373" i="1"/>
  <c r="J376" i="1" s="1"/>
  <c r="AB373" i="1"/>
  <c r="E373" i="1"/>
  <c r="D373" i="1"/>
  <c r="C373" i="1"/>
  <c r="B373" i="1"/>
  <c r="K371" i="1"/>
  <c r="H371" i="1"/>
  <c r="G371" i="1"/>
  <c r="E371" i="1"/>
  <c r="E370" i="1"/>
  <c r="E369" i="1"/>
  <c r="J368" i="1"/>
  <c r="I368" i="1"/>
  <c r="H368" i="1"/>
  <c r="G368" i="1"/>
  <c r="F368" i="1"/>
  <c r="C367" i="1"/>
  <c r="AG366" i="1"/>
  <c r="AF366" i="1"/>
  <c r="AE366" i="1"/>
  <c r="J370" i="1" s="1"/>
  <c r="AD366" i="1"/>
  <c r="AC366" i="1"/>
  <c r="J369" i="1" s="1"/>
  <c r="I372" i="1" s="1"/>
  <c r="AB366" i="1"/>
  <c r="E366" i="1"/>
  <c r="D366" i="1"/>
  <c r="C366" i="1"/>
  <c r="B366" i="1"/>
  <c r="K365" i="1"/>
  <c r="I365" i="1"/>
  <c r="AA365" i="1" s="1"/>
  <c r="J364" i="1"/>
  <c r="I364" i="1"/>
  <c r="H364" i="1"/>
  <c r="G364" i="1"/>
  <c r="F364" i="1"/>
  <c r="AG363" i="1"/>
  <c r="AF363" i="1"/>
  <c r="AE363" i="1"/>
  <c r="AD363" i="1"/>
  <c r="AC363" i="1"/>
  <c r="AB363" i="1"/>
  <c r="E363" i="1"/>
  <c r="D363" i="1"/>
  <c r="C363" i="1"/>
  <c r="B363" i="1"/>
  <c r="A362" i="1"/>
  <c r="AQ359" i="1"/>
  <c r="A359" i="1"/>
  <c r="K356" i="1"/>
  <c r="H356" i="1"/>
  <c r="G356" i="1"/>
  <c r="E356" i="1"/>
  <c r="J355" i="1"/>
  <c r="E355" i="1"/>
  <c r="E354" i="1"/>
  <c r="J353" i="1"/>
  <c r="I353" i="1"/>
  <c r="H353" i="1"/>
  <c r="G353" i="1"/>
  <c r="F353" i="1"/>
  <c r="J352" i="1"/>
  <c r="I352" i="1"/>
  <c r="H352" i="1"/>
  <c r="G352" i="1"/>
  <c r="F352" i="1"/>
  <c r="C351" i="1"/>
  <c r="AG350" i="1"/>
  <c r="AF350" i="1"/>
  <c r="AE350" i="1"/>
  <c r="AD350" i="1"/>
  <c r="AC350" i="1"/>
  <c r="J354" i="1" s="1"/>
  <c r="I357" i="1" s="1"/>
  <c r="AB350" i="1"/>
  <c r="E350" i="1"/>
  <c r="D350" i="1"/>
  <c r="C350" i="1"/>
  <c r="B350" i="1"/>
  <c r="I349" i="1"/>
  <c r="AA349" i="1" s="1"/>
  <c r="AG348" i="1"/>
  <c r="AF348" i="1"/>
  <c r="AE348" i="1"/>
  <c r="AD348" i="1"/>
  <c r="AC348" i="1"/>
  <c r="AB348" i="1"/>
  <c r="J348" i="1"/>
  <c r="I348" i="1"/>
  <c r="H348" i="1"/>
  <c r="F348" i="1"/>
  <c r="E348" i="1"/>
  <c r="D348" i="1"/>
  <c r="B348" i="1"/>
  <c r="J347" i="1"/>
  <c r="I347" i="1"/>
  <c r="H347" i="1"/>
  <c r="G347" i="1"/>
  <c r="F347" i="1"/>
  <c r="AG346" i="1"/>
  <c r="AF346" i="1"/>
  <c r="AE346" i="1"/>
  <c r="AD346" i="1"/>
  <c r="AC346" i="1"/>
  <c r="AB346" i="1"/>
  <c r="E346" i="1"/>
  <c r="D346" i="1"/>
  <c r="C346" i="1"/>
  <c r="B346" i="1"/>
  <c r="AG344" i="1"/>
  <c r="AF344" i="1"/>
  <c r="AE344" i="1"/>
  <c r="AD344" i="1"/>
  <c r="AC344" i="1"/>
  <c r="AB344" i="1"/>
  <c r="J344" i="1"/>
  <c r="I344" i="1"/>
  <c r="H344" i="1"/>
  <c r="F344" i="1"/>
  <c r="E344" i="1"/>
  <c r="D344" i="1"/>
  <c r="C344" i="1"/>
  <c r="B344" i="1"/>
  <c r="J343" i="1"/>
  <c r="I345" i="1" s="1"/>
  <c r="I343" i="1"/>
  <c r="H343" i="1"/>
  <c r="G343" i="1"/>
  <c r="F343" i="1"/>
  <c r="AG342" i="1"/>
  <c r="AF342" i="1"/>
  <c r="AE342" i="1"/>
  <c r="AD342" i="1"/>
  <c r="AC342" i="1"/>
  <c r="AB342" i="1"/>
  <c r="E342" i="1"/>
  <c r="D342" i="1"/>
  <c r="C342" i="1"/>
  <c r="B342" i="1"/>
  <c r="K340" i="1"/>
  <c r="H340" i="1"/>
  <c r="G340" i="1"/>
  <c r="E340" i="1"/>
  <c r="E339" i="1"/>
  <c r="E338" i="1"/>
  <c r="J337" i="1"/>
  <c r="I337" i="1"/>
  <c r="H337" i="1"/>
  <c r="G337" i="1"/>
  <c r="F337" i="1"/>
  <c r="C336" i="1"/>
  <c r="AG335" i="1"/>
  <c r="AF335" i="1"/>
  <c r="AE335" i="1"/>
  <c r="J339" i="1" s="1"/>
  <c r="AD335" i="1"/>
  <c r="AC335" i="1"/>
  <c r="J338" i="1" s="1"/>
  <c r="AB335" i="1"/>
  <c r="E335" i="1"/>
  <c r="D335" i="1"/>
  <c r="C335" i="1"/>
  <c r="B335" i="1"/>
  <c r="K333" i="1"/>
  <c r="H333" i="1"/>
  <c r="G333" i="1"/>
  <c r="E333" i="1"/>
  <c r="E332" i="1"/>
  <c r="J331" i="1"/>
  <c r="E331" i="1"/>
  <c r="E330" i="1"/>
  <c r="J329" i="1"/>
  <c r="I329" i="1"/>
  <c r="H329" i="1"/>
  <c r="G329" i="1"/>
  <c r="F329" i="1"/>
  <c r="J328" i="1"/>
  <c r="I328" i="1"/>
  <c r="H328" i="1"/>
  <c r="G328" i="1"/>
  <c r="F328" i="1"/>
  <c r="J327" i="1"/>
  <c r="I327" i="1"/>
  <c r="H327" i="1"/>
  <c r="G327" i="1"/>
  <c r="F327" i="1"/>
  <c r="C326" i="1"/>
  <c r="AG325" i="1"/>
  <c r="J332" i="1" s="1"/>
  <c r="AF325" i="1"/>
  <c r="AE325" i="1"/>
  <c r="AD325" i="1"/>
  <c r="AC325" i="1"/>
  <c r="J330" i="1" s="1"/>
  <c r="AB325" i="1"/>
  <c r="E325" i="1"/>
  <c r="D325" i="1"/>
  <c r="C325" i="1"/>
  <c r="B325" i="1"/>
  <c r="K323" i="1"/>
  <c r="H323" i="1"/>
  <c r="G323" i="1"/>
  <c r="E323" i="1"/>
  <c r="E322" i="1"/>
  <c r="E321" i="1"/>
  <c r="J320" i="1"/>
  <c r="I320" i="1"/>
  <c r="H320" i="1"/>
  <c r="G320" i="1"/>
  <c r="F320" i="1"/>
  <c r="C319" i="1"/>
  <c r="AG318" i="1"/>
  <c r="AF318" i="1"/>
  <c r="AE318" i="1"/>
  <c r="J322" i="1" s="1"/>
  <c r="AD318" i="1"/>
  <c r="AC318" i="1"/>
  <c r="J321" i="1" s="1"/>
  <c r="I324" i="1" s="1"/>
  <c r="AB318" i="1"/>
  <c r="E318" i="1"/>
  <c r="D318" i="1"/>
  <c r="C318" i="1"/>
  <c r="B318" i="1"/>
  <c r="K316" i="1"/>
  <c r="H316" i="1"/>
  <c r="G316" i="1"/>
  <c r="E316" i="1"/>
  <c r="E315" i="1"/>
  <c r="E314" i="1"/>
  <c r="J313" i="1"/>
  <c r="I313" i="1"/>
  <c r="H313" i="1"/>
  <c r="G313" i="1"/>
  <c r="F313" i="1"/>
  <c r="C312" i="1"/>
  <c r="AG311" i="1"/>
  <c r="AF311" i="1"/>
  <c r="AE311" i="1"/>
  <c r="J315" i="1" s="1"/>
  <c r="AD311" i="1"/>
  <c r="AC311" i="1"/>
  <c r="J314" i="1" s="1"/>
  <c r="AB311" i="1"/>
  <c r="E311" i="1"/>
  <c r="D311" i="1"/>
  <c r="C311" i="1"/>
  <c r="B311" i="1"/>
  <c r="K309" i="1"/>
  <c r="H309" i="1"/>
  <c r="G309" i="1"/>
  <c r="E309" i="1"/>
  <c r="E308" i="1"/>
  <c r="E307" i="1"/>
  <c r="J306" i="1"/>
  <c r="I306" i="1"/>
  <c r="H306" i="1"/>
  <c r="G306" i="1"/>
  <c r="F306" i="1"/>
  <c r="C305" i="1"/>
  <c r="AG304" i="1"/>
  <c r="AF304" i="1"/>
  <c r="AE304" i="1"/>
  <c r="J308" i="1" s="1"/>
  <c r="AD304" i="1"/>
  <c r="AC304" i="1"/>
  <c r="J307" i="1" s="1"/>
  <c r="AB304" i="1"/>
  <c r="E304" i="1"/>
  <c r="D304" i="1"/>
  <c r="C304" i="1"/>
  <c r="B304" i="1"/>
  <c r="K302" i="1"/>
  <c r="H302" i="1"/>
  <c r="G302" i="1"/>
  <c r="E302" i="1"/>
  <c r="E301" i="1"/>
  <c r="E300" i="1"/>
  <c r="J299" i="1"/>
  <c r="I299" i="1"/>
  <c r="H299" i="1"/>
  <c r="G299" i="1"/>
  <c r="F299" i="1"/>
  <c r="C298" i="1"/>
  <c r="AG297" i="1"/>
  <c r="AF297" i="1"/>
  <c r="AE297" i="1"/>
  <c r="J301" i="1" s="1"/>
  <c r="AD297" i="1"/>
  <c r="AC297" i="1"/>
  <c r="J300" i="1" s="1"/>
  <c r="AB297" i="1"/>
  <c r="E297" i="1"/>
  <c r="D297" i="1"/>
  <c r="C297" i="1"/>
  <c r="B297" i="1"/>
  <c r="J295" i="1"/>
  <c r="E295" i="1"/>
  <c r="J294" i="1"/>
  <c r="I294" i="1"/>
  <c r="H294" i="1"/>
  <c r="G294" i="1"/>
  <c r="F294" i="1"/>
  <c r="J293" i="1"/>
  <c r="I296" i="1" s="1"/>
  <c r="I293" i="1"/>
  <c r="H293" i="1"/>
  <c r="G293" i="1"/>
  <c r="F293" i="1"/>
  <c r="C292" i="1"/>
  <c r="AG291" i="1"/>
  <c r="AF291" i="1"/>
  <c r="AE291" i="1"/>
  <c r="AD291" i="1"/>
  <c r="AC291" i="1"/>
  <c r="AB291" i="1"/>
  <c r="E291" i="1"/>
  <c r="D291" i="1"/>
  <c r="C291" i="1"/>
  <c r="B291" i="1"/>
  <c r="AG289" i="1"/>
  <c r="AF289" i="1"/>
  <c r="AE289" i="1"/>
  <c r="AD289" i="1"/>
  <c r="AC289" i="1"/>
  <c r="AB289" i="1"/>
  <c r="J289" i="1"/>
  <c r="I289" i="1"/>
  <c r="H289" i="1"/>
  <c r="F289" i="1"/>
  <c r="E289" i="1"/>
  <c r="D289" i="1"/>
  <c r="C289" i="1"/>
  <c r="B289" i="1"/>
  <c r="J288" i="1"/>
  <c r="I290" i="1" s="1"/>
  <c r="I288" i="1"/>
  <c r="H288" i="1"/>
  <c r="G288" i="1"/>
  <c r="F288" i="1"/>
  <c r="AG287" i="1"/>
  <c r="AF287" i="1"/>
  <c r="AE287" i="1"/>
  <c r="AD287" i="1"/>
  <c r="AC287" i="1"/>
  <c r="AB287" i="1"/>
  <c r="E287" i="1"/>
  <c r="D287" i="1"/>
  <c r="C287" i="1"/>
  <c r="B287" i="1"/>
  <c r="J285" i="1"/>
  <c r="I286" i="1" s="1"/>
  <c r="I285" i="1"/>
  <c r="H285" i="1"/>
  <c r="G285" i="1"/>
  <c r="F285" i="1"/>
  <c r="AG284" i="1"/>
  <c r="AF284" i="1"/>
  <c r="AE284" i="1"/>
  <c r="AD284" i="1"/>
  <c r="AC284" i="1"/>
  <c r="AB284" i="1"/>
  <c r="E284" i="1"/>
  <c r="D284" i="1"/>
  <c r="C284" i="1"/>
  <c r="B284" i="1"/>
  <c r="K283" i="1"/>
  <c r="I283" i="1"/>
  <c r="AA283" i="1" s="1"/>
  <c r="J282" i="1"/>
  <c r="I282" i="1"/>
  <c r="H282" i="1"/>
  <c r="G282" i="1"/>
  <c r="F282" i="1"/>
  <c r="AG281" i="1"/>
  <c r="AF281" i="1"/>
  <c r="AE281" i="1"/>
  <c r="AD281" i="1"/>
  <c r="AC281" i="1"/>
  <c r="AB281" i="1"/>
  <c r="E281" i="1"/>
  <c r="D281" i="1"/>
  <c r="C281" i="1"/>
  <c r="B281" i="1"/>
  <c r="A280" i="1"/>
  <c r="AQ277" i="1"/>
  <c r="A277" i="1"/>
  <c r="K274" i="1"/>
  <c r="H274" i="1"/>
  <c r="G274" i="1"/>
  <c r="E274" i="1"/>
  <c r="J273" i="1"/>
  <c r="E273" i="1"/>
  <c r="E272" i="1"/>
  <c r="J271" i="1"/>
  <c r="I271" i="1"/>
  <c r="H271" i="1"/>
  <c r="G271" i="1"/>
  <c r="F271" i="1"/>
  <c r="J270" i="1"/>
  <c r="I270" i="1"/>
  <c r="H270" i="1"/>
  <c r="G270" i="1"/>
  <c r="F270" i="1"/>
  <c r="C269" i="1"/>
  <c r="AG268" i="1"/>
  <c r="AF268" i="1"/>
  <c r="AE268" i="1"/>
  <c r="AD268" i="1"/>
  <c r="AC268" i="1"/>
  <c r="J272" i="1" s="1"/>
  <c r="I275" i="1" s="1"/>
  <c r="AB268" i="1"/>
  <c r="E268" i="1"/>
  <c r="D268" i="1"/>
  <c r="C268" i="1"/>
  <c r="B268" i="1"/>
  <c r="I267" i="1"/>
  <c r="AA267" i="1" s="1"/>
  <c r="AG266" i="1"/>
  <c r="AF266" i="1"/>
  <c r="AE266" i="1"/>
  <c r="AD266" i="1"/>
  <c r="AC266" i="1"/>
  <c r="AB266" i="1"/>
  <c r="J266" i="1"/>
  <c r="I266" i="1"/>
  <c r="H266" i="1"/>
  <c r="F266" i="1"/>
  <c r="E266" i="1"/>
  <c r="D266" i="1"/>
  <c r="B266" i="1"/>
  <c r="J265" i="1"/>
  <c r="I265" i="1"/>
  <c r="H265" i="1"/>
  <c r="G265" i="1"/>
  <c r="F265" i="1"/>
  <c r="AG264" i="1"/>
  <c r="AF264" i="1"/>
  <c r="AE264" i="1"/>
  <c r="AD264" i="1"/>
  <c r="AC264" i="1"/>
  <c r="AB264" i="1"/>
  <c r="E264" i="1"/>
  <c r="D264" i="1"/>
  <c r="C264" i="1"/>
  <c r="B264" i="1"/>
  <c r="AG262" i="1"/>
  <c r="AF262" i="1"/>
  <c r="AE262" i="1"/>
  <c r="AD262" i="1"/>
  <c r="AC262" i="1"/>
  <c r="AB262" i="1"/>
  <c r="J262" i="1"/>
  <c r="I262" i="1"/>
  <c r="H262" i="1"/>
  <c r="F262" i="1"/>
  <c r="E262" i="1"/>
  <c r="D262" i="1"/>
  <c r="C262" i="1"/>
  <c r="B262" i="1"/>
  <c r="J261" i="1"/>
  <c r="I263" i="1" s="1"/>
  <c r="I261" i="1"/>
  <c r="H261" i="1"/>
  <c r="G261" i="1"/>
  <c r="F261" i="1"/>
  <c r="AG260" i="1"/>
  <c r="AF260" i="1"/>
  <c r="AE260" i="1"/>
  <c r="AD260" i="1"/>
  <c r="AC260" i="1"/>
  <c r="AB260" i="1"/>
  <c r="E260" i="1"/>
  <c r="D260" i="1"/>
  <c r="C260" i="1"/>
  <c r="B260" i="1"/>
  <c r="K258" i="1"/>
  <c r="H258" i="1"/>
  <c r="G258" i="1"/>
  <c r="E258" i="1"/>
  <c r="E257" i="1"/>
  <c r="E256" i="1"/>
  <c r="J255" i="1"/>
  <c r="I255" i="1"/>
  <c r="H255" i="1"/>
  <c r="G255" i="1"/>
  <c r="F255" i="1"/>
  <c r="C254" i="1"/>
  <c r="AG253" i="1"/>
  <c r="AF253" i="1"/>
  <c r="AE253" i="1"/>
  <c r="J257" i="1" s="1"/>
  <c r="AD253" i="1"/>
  <c r="AC253" i="1"/>
  <c r="J256" i="1" s="1"/>
  <c r="AB253" i="1"/>
  <c r="E253" i="1"/>
  <c r="D253" i="1"/>
  <c r="C253" i="1"/>
  <c r="B253" i="1"/>
  <c r="K251" i="1"/>
  <c r="H251" i="1"/>
  <c r="G251" i="1"/>
  <c r="E251" i="1"/>
  <c r="E250" i="1"/>
  <c r="J249" i="1"/>
  <c r="E249" i="1"/>
  <c r="E248" i="1"/>
  <c r="J247" i="1"/>
  <c r="I247" i="1"/>
  <c r="H247" i="1"/>
  <c r="G247" i="1"/>
  <c r="F247" i="1"/>
  <c r="J246" i="1"/>
  <c r="I246" i="1"/>
  <c r="H246" i="1"/>
  <c r="G246" i="1"/>
  <c r="F246" i="1"/>
  <c r="J245" i="1"/>
  <c r="I252" i="1" s="1"/>
  <c r="I245" i="1"/>
  <c r="H245" i="1"/>
  <c r="G245" i="1"/>
  <c r="F245" i="1"/>
  <c r="C244" i="1"/>
  <c r="AG243" i="1"/>
  <c r="J250" i="1" s="1"/>
  <c r="AF243" i="1"/>
  <c r="AE243" i="1"/>
  <c r="AD243" i="1"/>
  <c r="AC243" i="1"/>
  <c r="J248" i="1" s="1"/>
  <c r="AB243" i="1"/>
  <c r="E243" i="1"/>
  <c r="D243" i="1"/>
  <c r="C243" i="1"/>
  <c r="B243" i="1"/>
  <c r="K241" i="1"/>
  <c r="H241" i="1"/>
  <c r="G241" i="1"/>
  <c r="E241" i="1"/>
  <c r="E240" i="1"/>
  <c r="E239" i="1"/>
  <c r="J238" i="1"/>
  <c r="I238" i="1"/>
  <c r="H238" i="1"/>
  <c r="G238" i="1"/>
  <c r="F238" i="1"/>
  <c r="C237" i="1"/>
  <c r="AG236" i="1"/>
  <c r="AF236" i="1"/>
  <c r="AE236" i="1"/>
  <c r="J240" i="1" s="1"/>
  <c r="AD236" i="1"/>
  <c r="AC236" i="1"/>
  <c r="J239" i="1" s="1"/>
  <c r="I242" i="1" s="1"/>
  <c r="AB236" i="1"/>
  <c r="E236" i="1"/>
  <c r="D236" i="1"/>
  <c r="C236" i="1"/>
  <c r="B236" i="1"/>
  <c r="K234" i="1"/>
  <c r="H234" i="1"/>
  <c r="G234" i="1"/>
  <c r="E234" i="1"/>
  <c r="E233" i="1"/>
  <c r="E232" i="1"/>
  <c r="J231" i="1"/>
  <c r="I231" i="1"/>
  <c r="H231" i="1"/>
  <c r="G231" i="1"/>
  <c r="F231" i="1"/>
  <c r="C230" i="1"/>
  <c r="AG229" i="1"/>
  <c r="AF229" i="1"/>
  <c r="AE229" i="1"/>
  <c r="J233" i="1" s="1"/>
  <c r="AD229" i="1"/>
  <c r="AC229" i="1"/>
  <c r="J232" i="1" s="1"/>
  <c r="AB229" i="1"/>
  <c r="E229" i="1"/>
  <c r="D229" i="1"/>
  <c r="C229" i="1"/>
  <c r="B229" i="1"/>
  <c r="K227" i="1"/>
  <c r="H227" i="1"/>
  <c r="G227" i="1"/>
  <c r="E227" i="1"/>
  <c r="E226" i="1"/>
  <c r="E225" i="1"/>
  <c r="J224" i="1"/>
  <c r="I224" i="1"/>
  <c r="H224" i="1"/>
  <c r="G224" i="1"/>
  <c r="F224" i="1"/>
  <c r="C223" i="1"/>
  <c r="AG222" i="1"/>
  <c r="AF222" i="1"/>
  <c r="AE222" i="1"/>
  <c r="J226" i="1" s="1"/>
  <c r="AD222" i="1"/>
  <c r="AC222" i="1"/>
  <c r="J225" i="1" s="1"/>
  <c r="AB222" i="1"/>
  <c r="E222" i="1"/>
  <c r="D222" i="1"/>
  <c r="C222" i="1"/>
  <c r="B222" i="1"/>
  <c r="K220" i="1"/>
  <c r="H220" i="1"/>
  <c r="G220" i="1"/>
  <c r="E220" i="1"/>
  <c r="E219" i="1"/>
  <c r="E218" i="1"/>
  <c r="J217" i="1"/>
  <c r="I217" i="1"/>
  <c r="H217" i="1"/>
  <c r="G217" i="1"/>
  <c r="F217" i="1"/>
  <c r="C216" i="1"/>
  <c r="AG215" i="1"/>
  <c r="AF215" i="1"/>
  <c r="AE215" i="1"/>
  <c r="J219" i="1" s="1"/>
  <c r="AD215" i="1"/>
  <c r="AC215" i="1"/>
  <c r="J218" i="1" s="1"/>
  <c r="AB215" i="1"/>
  <c r="E215" i="1"/>
  <c r="D215" i="1"/>
  <c r="C215" i="1"/>
  <c r="B215" i="1"/>
  <c r="J213" i="1"/>
  <c r="E213" i="1"/>
  <c r="J212" i="1"/>
  <c r="I212" i="1"/>
  <c r="H212" i="1"/>
  <c r="G212" i="1"/>
  <c r="F212" i="1"/>
  <c r="J211" i="1"/>
  <c r="I214" i="1" s="1"/>
  <c r="I211" i="1"/>
  <c r="H211" i="1"/>
  <c r="G211" i="1"/>
  <c r="F211" i="1"/>
  <c r="C210" i="1"/>
  <c r="AG209" i="1"/>
  <c r="AF209" i="1"/>
  <c r="AE209" i="1"/>
  <c r="AD209" i="1"/>
  <c r="AC209" i="1"/>
  <c r="AB209" i="1"/>
  <c r="E209" i="1"/>
  <c r="D209" i="1"/>
  <c r="C209" i="1"/>
  <c r="B209" i="1"/>
  <c r="AG207" i="1"/>
  <c r="AF207" i="1"/>
  <c r="AE207" i="1"/>
  <c r="AD207" i="1"/>
  <c r="AC207" i="1"/>
  <c r="AB207" i="1"/>
  <c r="J207" i="1"/>
  <c r="I207" i="1"/>
  <c r="H207" i="1"/>
  <c r="F207" i="1"/>
  <c r="E207" i="1"/>
  <c r="D207" i="1"/>
  <c r="C207" i="1"/>
  <c r="B207" i="1"/>
  <c r="J206" i="1"/>
  <c r="I208" i="1" s="1"/>
  <c r="I206" i="1"/>
  <c r="H206" i="1"/>
  <c r="G206" i="1"/>
  <c r="F206" i="1"/>
  <c r="AG205" i="1"/>
  <c r="AF205" i="1"/>
  <c r="AE205" i="1"/>
  <c r="AD205" i="1"/>
  <c r="AC205" i="1"/>
  <c r="AB205" i="1"/>
  <c r="E205" i="1"/>
  <c r="D205" i="1"/>
  <c r="C205" i="1"/>
  <c r="B205" i="1"/>
  <c r="J203" i="1"/>
  <c r="I204" i="1" s="1"/>
  <c r="I203" i="1"/>
  <c r="H203" i="1"/>
  <c r="G203" i="1"/>
  <c r="F203" i="1"/>
  <c r="AG202" i="1"/>
  <c r="AF202" i="1"/>
  <c r="AE202" i="1"/>
  <c r="AD202" i="1"/>
  <c r="AC202" i="1"/>
  <c r="AB202" i="1"/>
  <c r="E202" i="1"/>
  <c r="D202" i="1"/>
  <c r="C202" i="1"/>
  <c r="B202" i="1"/>
  <c r="K201" i="1"/>
  <c r="I201" i="1"/>
  <c r="AA201" i="1" s="1"/>
  <c r="J200" i="1"/>
  <c r="I200" i="1"/>
  <c r="H200" i="1"/>
  <c r="G200" i="1"/>
  <c r="F200" i="1"/>
  <c r="AG199" i="1"/>
  <c r="AF199" i="1"/>
  <c r="AE199" i="1"/>
  <c r="AD199" i="1"/>
  <c r="AC199" i="1"/>
  <c r="AB199" i="1"/>
  <c r="E199" i="1"/>
  <c r="D199" i="1"/>
  <c r="C199" i="1"/>
  <c r="B199" i="1"/>
  <c r="A198" i="1"/>
  <c r="AQ195" i="1"/>
  <c r="A195" i="1"/>
  <c r="K192" i="1"/>
  <c r="H192" i="1"/>
  <c r="G192" i="1"/>
  <c r="E192" i="1"/>
  <c r="J191" i="1"/>
  <c r="E191" i="1"/>
  <c r="E190" i="1"/>
  <c r="J189" i="1"/>
  <c r="I189" i="1"/>
  <c r="H189" i="1"/>
  <c r="G189" i="1"/>
  <c r="F189" i="1"/>
  <c r="J188" i="1"/>
  <c r="I188" i="1"/>
  <c r="H188" i="1"/>
  <c r="G188" i="1"/>
  <c r="F188" i="1"/>
  <c r="C187" i="1"/>
  <c r="AG186" i="1"/>
  <c r="AF186" i="1"/>
  <c r="AE186" i="1"/>
  <c r="AD186" i="1"/>
  <c r="AC186" i="1"/>
  <c r="J190" i="1" s="1"/>
  <c r="I193" i="1" s="1"/>
  <c r="AB186" i="1"/>
  <c r="E186" i="1"/>
  <c r="D186" i="1"/>
  <c r="C186" i="1"/>
  <c r="B186" i="1"/>
  <c r="I185" i="1"/>
  <c r="AA185" i="1" s="1"/>
  <c r="AG184" i="1"/>
  <c r="AF184" i="1"/>
  <c r="AE184" i="1"/>
  <c r="AD184" i="1"/>
  <c r="AC184" i="1"/>
  <c r="AB184" i="1"/>
  <c r="J184" i="1"/>
  <c r="I184" i="1"/>
  <c r="H184" i="1"/>
  <c r="F184" i="1"/>
  <c r="E184" i="1"/>
  <c r="D184" i="1"/>
  <c r="C184" i="1"/>
  <c r="B184" i="1"/>
  <c r="J183" i="1"/>
  <c r="I183" i="1"/>
  <c r="H183" i="1"/>
  <c r="G183" i="1"/>
  <c r="F183" i="1"/>
  <c r="AG182" i="1"/>
  <c r="AF182" i="1"/>
  <c r="AE182" i="1"/>
  <c r="AD182" i="1"/>
  <c r="AC182" i="1"/>
  <c r="AB182" i="1"/>
  <c r="E182" i="1"/>
  <c r="D182" i="1"/>
  <c r="C182" i="1"/>
  <c r="B182" i="1"/>
  <c r="I181" i="1"/>
  <c r="AA181" i="1" s="1"/>
  <c r="AG180" i="1"/>
  <c r="AF180" i="1"/>
  <c r="AE180" i="1"/>
  <c r="AD180" i="1"/>
  <c r="AC180" i="1"/>
  <c r="AB180" i="1"/>
  <c r="J180" i="1"/>
  <c r="I180" i="1"/>
  <c r="H180" i="1"/>
  <c r="F180" i="1"/>
  <c r="E180" i="1"/>
  <c r="D180" i="1"/>
  <c r="C180" i="1"/>
  <c r="B180" i="1"/>
  <c r="J179" i="1"/>
  <c r="I179" i="1"/>
  <c r="H179" i="1"/>
  <c r="G179" i="1"/>
  <c r="F179" i="1"/>
  <c r="AG178" i="1"/>
  <c r="AF178" i="1"/>
  <c r="AE178" i="1"/>
  <c r="AD178" i="1"/>
  <c r="AC178" i="1"/>
  <c r="AB178" i="1"/>
  <c r="E178" i="1"/>
  <c r="D178" i="1"/>
  <c r="C178" i="1"/>
  <c r="B178" i="1"/>
  <c r="K176" i="1"/>
  <c r="H176" i="1"/>
  <c r="G176" i="1"/>
  <c r="E176" i="1"/>
  <c r="E175" i="1"/>
  <c r="E174" i="1"/>
  <c r="J173" i="1"/>
  <c r="I173" i="1"/>
  <c r="H173" i="1"/>
  <c r="G173" i="1"/>
  <c r="F173" i="1"/>
  <c r="C172" i="1"/>
  <c r="AG171" i="1"/>
  <c r="AF171" i="1"/>
  <c r="AE171" i="1"/>
  <c r="J175" i="1" s="1"/>
  <c r="AD171" i="1"/>
  <c r="AC171" i="1"/>
  <c r="J174" i="1" s="1"/>
  <c r="I177" i="1" s="1"/>
  <c r="AB171" i="1"/>
  <c r="E171" i="1"/>
  <c r="D171" i="1"/>
  <c r="C171" i="1"/>
  <c r="B171" i="1"/>
  <c r="K169" i="1"/>
  <c r="H169" i="1"/>
  <c r="G169" i="1"/>
  <c r="E169" i="1"/>
  <c r="J168" i="1"/>
  <c r="E168" i="1"/>
  <c r="E167" i="1"/>
  <c r="J166" i="1"/>
  <c r="E166" i="1"/>
  <c r="J165" i="1"/>
  <c r="I165" i="1"/>
  <c r="H165" i="1"/>
  <c r="G165" i="1"/>
  <c r="F165" i="1"/>
  <c r="J164" i="1"/>
  <c r="I164" i="1"/>
  <c r="H164" i="1"/>
  <c r="G164" i="1"/>
  <c r="F164" i="1"/>
  <c r="J163" i="1"/>
  <c r="I163" i="1"/>
  <c r="H163" i="1"/>
  <c r="G163" i="1"/>
  <c r="F163" i="1"/>
  <c r="C162" i="1"/>
  <c r="AG161" i="1"/>
  <c r="AF161" i="1"/>
  <c r="AE161" i="1"/>
  <c r="J167" i="1" s="1"/>
  <c r="AD161" i="1"/>
  <c r="AC161" i="1"/>
  <c r="AB161" i="1"/>
  <c r="E161" i="1"/>
  <c r="D161" i="1"/>
  <c r="C161" i="1"/>
  <c r="B161" i="1"/>
  <c r="K159" i="1"/>
  <c r="H159" i="1"/>
  <c r="G159" i="1"/>
  <c r="E159" i="1"/>
  <c r="E158" i="1"/>
  <c r="E157" i="1"/>
  <c r="J156" i="1"/>
  <c r="I156" i="1"/>
  <c r="H156" i="1"/>
  <c r="G156" i="1"/>
  <c r="F156" i="1"/>
  <c r="C155" i="1"/>
  <c r="AG154" i="1"/>
  <c r="AF154" i="1"/>
  <c r="AE154" i="1"/>
  <c r="J158" i="1" s="1"/>
  <c r="AD154" i="1"/>
  <c r="AC154" i="1"/>
  <c r="J157" i="1" s="1"/>
  <c r="I160" i="1" s="1"/>
  <c r="AB154" i="1"/>
  <c r="E154" i="1"/>
  <c r="D154" i="1"/>
  <c r="C154" i="1"/>
  <c r="B154" i="1"/>
  <c r="K152" i="1"/>
  <c r="H152" i="1"/>
  <c r="G152" i="1"/>
  <c r="E152" i="1"/>
  <c r="E151" i="1"/>
  <c r="E150" i="1"/>
  <c r="J149" i="1"/>
  <c r="I149" i="1"/>
  <c r="H149" i="1"/>
  <c r="G149" i="1"/>
  <c r="F149" i="1"/>
  <c r="C148" i="1"/>
  <c r="AG147" i="1"/>
  <c r="AF147" i="1"/>
  <c r="AE147" i="1"/>
  <c r="J151" i="1" s="1"/>
  <c r="AD147" i="1"/>
  <c r="AC147" i="1"/>
  <c r="J150" i="1" s="1"/>
  <c r="AB147" i="1"/>
  <c r="E147" i="1"/>
  <c r="D147" i="1"/>
  <c r="C147" i="1"/>
  <c r="B147" i="1"/>
  <c r="K145" i="1"/>
  <c r="H145" i="1"/>
  <c r="G145" i="1"/>
  <c r="E145" i="1"/>
  <c r="E144" i="1"/>
  <c r="E143" i="1"/>
  <c r="J142" i="1"/>
  <c r="I142" i="1"/>
  <c r="H142" i="1"/>
  <c r="G142" i="1"/>
  <c r="F142" i="1"/>
  <c r="C141" i="1"/>
  <c r="AG140" i="1"/>
  <c r="AF140" i="1"/>
  <c r="AE140" i="1"/>
  <c r="J144" i="1" s="1"/>
  <c r="AD140" i="1"/>
  <c r="AC140" i="1"/>
  <c r="J143" i="1" s="1"/>
  <c r="I146" i="1" s="1"/>
  <c r="AB140" i="1"/>
  <c r="E140" i="1"/>
  <c r="D140" i="1"/>
  <c r="C140" i="1"/>
  <c r="B140" i="1"/>
  <c r="K138" i="1"/>
  <c r="H138" i="1"/>
  <c r="G138" i="1"/>
  <c r="E138" i="1"/>
  <c r="E137" i="1"/>
  <c r="E136" i="1"/>
  <c r="J135" i="1"/>
  <c r="I135" i="1"/>
  <c r="H135" i="1"/>
  <c r="G135" i="1"/>
  <c r="F135" i="1"/>
  <c r="C134" i="1"/>
  <c r="AG133" i="1"/>
  <c r="AF133" i="1"/>
  <c r="AE133" i="1"/>
  <c r="J137" i="1" s="1"/>
  <c r="AD133" i="1"/>
  <c r="AC133" i="1"/>
  <c r="J136" i="1" s="1"/>
  <c r="AB133" i="1"/>
  <c r="E133" i="1"/>
  <c r="D133" i="1"/>
  <c r="C133" i="1"/>
  <c r="B133" i="1"/>
  <c r="E131" i="1"/>
  <c r="J130" i="1"/>
  <c r="I130" i="1"/>
  <c r="H130" i="1"/>
  <c r="G130" i="1"/>
  <c r="F130" i="1"/>
  <c r="J129" i="1"/>
  <c r="I129" i="1"/>
  <c r="H129" i="1"/>
  <c r="G129" i="1"/>
  <c r="F129" i="1"/>
  <c r="C128" i="1"/>
  <c r="AG127" i="1"/>
  <c r="J131" i="1" s="1"/>
  <c r="AF127" i="1"/>
  <c r="AE127" i="1"/>
  <c r="AD127" i="1"/>
  <c r="AC127" i="1"/>
  <c r="AB127" i="1"/>
  <c r="E127" i="1"/>
  <c r="D127" i="1"/>
  <c r="C127" i="1"/>
  <c r="B127" i="1"/>
  <c r="I126" i="1"/>
  <c r="AA126" i="1" s="1"/>
  <c r="AG125" i="1"/>
  <c r="AF125" i="1"/>
  <c r="AE125" i="1"/>
  <c r="AD125" i="1"/>
  <c r="AC125" i="1"/>
  <c r="AB125" i="1"/>
  <c r="J125" i="1"/>
  <c r="I125" i="1"/>
  <c r="H125" i="1"/>
  <c r="F125" i="1"/>
  <c r="E125" i="1"/>
  <c r="D125" i="1"/>
  <c r="C125" i="1"/>
  <c r="B125" i="1"/>
  <c r="J124" i="1"/>
  <c r="I124" i="1"/>
  <c r="H124" i="1"/>
  <c r="G124" i="1"/>
  <c r="F124" i="1"/>
  <c r="AG123" i="1"/>
  <c r="AF123" i="1"/>
  <c r="AE123" i="1"/>
  <c r="AD123" i="1"/>
  <c r="AC123" i="1"/>
  <c r="AB123" i="1"/>
  <c r="E123" i="1"/>
  <c r="D123" i="1"/>
  <c r="C123" i="1"/>
  <c r="B123" i="1"/>
  <c r="I122" i="1"/>
  <c r="AA122" i="1" s="1"/>
  <c r="J121" i="1"/>
  <c r="I121" i="1"/>
  <c r="H121" i="1"/>
  <c r="G121" i="1"/>
  <c r="F121" i="1"/>
  <c r="AG120" i="1"/>
  <c r="AF120" i="1"/>
  <c r="AE120" i="1"/>
  <c r="AD120" i="1"/>
  <c r="AC120" i="1"/>
  <c r="AB120" i="1"/>
  <c r="E120" i="1"/>
  <c r="D120" i="1"/>
  <c r="C120" i="1"/>
  <c r="B120" i="1"/>
  <c r="J118" i="1"/>
  <c r="I119" i="1" s="1"/>
  <c r="I118" i="1"/>
  <c r="H118" i="1"/>
  <c r="G118" i="1"/>
  <c r="F118" i="1"/>
  <c r="AG117" i="1"/>
  <c r="AF117" i="1"/>
  <c r="AE117" i="1"/>
  <c r="AD117" i="1"/>
  <c r="AC117" i="1"/>
  <c r="AB117" i="1"/>
  <c r="E117" i="1"/>
  <c r="D117" i="1"/>
  <c r="C117" i="1"/>
  <c r="B117" i="1"/>
  <c r="A116" i="1"/>
  <c r="AQ113" i="1"/>
  <c r="A113" i="1"/>
  <c r="K110" i="1"/>
  <c r="H110" i="1"/>
  <c r="G110" i="1"/>
  <c r="E110" i="1"/>
  <c r="E109" i="1"/>
  <c r="J108" i="1"/>
  <c r="E108" i="1"/>
  <c r="J107" i="1"/>
  <c r="I107" i="1"/>
  <c r="H107" i="1"/>
  <c r="G107" i="1"/>
  <c r="F107" i="1"/>
  <c r="J106" i="1"/>
  <c r="I106" i="1"/>
  <c r="H106" i="1"/>
  <c r="G106" i="1"/>
  <c r="F106" i="1"/>
  <c r="C105" i="1"/>
  <c r="AG104" i="1"/>
  <c r="AF104" i="1"/>
  <c r="AE104" i="1"/>
  <c r="J109" i="1" s="1"/>
  <c r="AD104" i="1"/>
  <c r="AC104" i="1"/>
  <c r="AB104" i="1"/>
  <c r="E104" i="1"/>
  <c r="D104" i="1"/>
  <c r="C104" i="1"/>
  <c r="B104" i="1"/>
  <c r="AG102" i="1"/>
  <c r="AF102" i="1"/>
  <c r="AE102" i="1"/>
  <c r="AD102" i="1"/>
  <c r="AC102" i="1"/>
  <c r="AB102" i="1"/>
  <c r="J102" i="1"/>
  <c r="I102" i="1"/>
  <c r="H102" i="1"/>
  <c r="F102" i="1"/>
  <c r="E102" i="1"/>
  <c r="D102" i="1"/>
  <c r="C102" i="1"/>
  <c r="B102" i="1"/>
  <c r="J101" i="1"/>
  <c r="I103" i="1" s="1"/>
  <c r="I101" i="1"/>
  <c r="H101" i="1"/>
  <c r="G101" i="1"/>
  <c r="F101" i="1"/>
  <c r="AG100" i="1"/>
  <c r="AF100" i="1"/>
  <c r="AE100" i="1"/>
  <c r="AD100" i="1"/>
  <c r="AC100" i="1"/>
  <c r="AB100" i="1"/>
  <c r="E100" i="1"/>
  <c r="D100" i="1"/>
  <c r="C100" i="1"/>
  <c r="B100" i="1"/>
  <c r="AG98" i="1"/>
  <c r="AF98" i="1"/>
  <c r="AE98" i="1"/>
  <c r="AD98" i="1"/>
  <c r="AC98" i="1"/>
  <c r="AB98" i="1"/>
  <c r="J98" i="1"/>
  <c r="I98" i="1"/>
  <c r="H98" i="1"/>
  <c r="F98" i="1"/>
  <c r="E98" i="1"/>
  <c r="D98" i="1"/>
  <c r="C98" i="1"/>
  <c r="B98" i="1"/>
  <c r="J97" i="1"/>
  <c r="I99" i="1" s="1"/>
  <c r="I97" i="1"/>
  <c r="H97" i="1"/>
  <c r="G97" i="1"/>
  <c r="F97" i="1"/>
  <c r="AG96" i="1"/>
  <c r="AF96" i="1"/>
  <c r="AE96" i="1"/>
  <c r="AD96" i="1"/>
  <c r="AC96" i="1"/>
  <c r="AB96" i="1"/>
  <c r="E96" i="1"/>
  <c r="D96" i="1"/>
  <c r="C96" i="1"/>
  <c r="B96" i="1"/>
  <c r="K94" i="1"/>
  <c r="H94" i="1"/>
  <c r="G94" i="1"/>
  <c r="E94" i="1"/>
  <c r="E93" i="1"/>
  <c r="E92" i="1"/>
  <c r="J91" i="1"/>
  <c r="I91" i="1"/>
  <c r="H91" i="1"/>
  <c r="G91" i="1"/>
  <c r="F91" i="1"/>
  <c r="C90" i="1"/>
  <c r="AG89" i="1"/>
  <c r="AF89" i="1"/>
  <c r="AE89" i="1"/>
  <c r="J93" i="1" s="1"/>
  <c r="AD89" i="1"/>
  <c r="AC89" i="1"/>
  <c r="J92" i="1" s="1"/>
  <c r="AB89" i="1"/>
  <c r="E89" i="1"/>
  <c r="D89" i="1"/>
  <c r="C89" i="1"/>
  <c r="B89" i="1"/>
  <c r="K87" i="1"/>
  <c r="H87" i="1"/>
  <c r="G87" i="1"/>
  <c r="E87" i="1"/>
  <c r="E86" i="1"/>
  <c r="E85" i="1"/>
  <c r="E84" i="1"/>
  <c r="J83" i="1"/>
  <c r="I83" i="1"/>
  <c r="H83" i="1"/>
  <c r="G83" i="1"/>
  <c r="F83" i="1"/>
  <c r="J82" i="1"/>
  <c r="I82" i="1"/>
  <c r="H82" i="1"/>
  <c r="G82" i="1"/>
  <c r="F82" i="1"/>
  <c r="J81" i="1"/>
  <c r="I81" i="1"/>
  <c r="H81" i="1"/>
  <c r="G81" i="1"/>
  <c r="F81" i="1"/>
  <c r="C80" i="1"/>
  <c r="AG79" i="1"/>
  <c r="J86" i="1" s="1"/>
  <c r="AF79" i="1"/>
  <c r="AE79" i="1"/>
  <c r="J85" i="1" s="1"/>
  <c r="AD79" i="1"/>
  <c r="AC79" i="1"/>
  <c r="J84" i="1" s="1"/>
  <c r="AB79" i="1"/>
  <c r="E79" i="1"/>
  <c r="D79" i="1"/>
  <c r="C79" i="1"/>
  <c r="B79" i="1"/>
  <c r="K77" i="1"/>
  <c r="H77" i="1"/>
  <c r="G77" i="1"/>
  <c r="E77" i="1"/>
  <c r="E76" i="1"/>
  <c r="E75" i="1"/>
  <c r="J74" i="1"/>
  <c r="I74" i="1"/>
  <c r="H74" i="1"/>
  <c r="G74" i="1"/>
  <c r="F74" i="1"/>
  <c r="C73" i="1"/>
  <c r="AG72" i="1"/>
  <c r="AF72" i="1"/>
  <c r="AE72" i="1"/>
  <c r="J76" i="1" s="1"/>
  <c r="AD72" i="1"/>
  <c r="AC72" i="1"/>
  <c r="J75" i="1" s="1"/>
  <c r="AB72" i="1"/>
  <c r="E72" i="1"/>
  <c r="D72" i="1"/>
  <c r="C72" i="1"/>
  <c r="B72" i="1"/>
  <c r="K70" i="1"/>
  <c r="H70" i="1"/>
  <c r="G70" i="1"/>
  <c r="E70" i="1"/>
  <c r="E69" i="1"/>
  <c r="E68" i="1"/>
  <c r="J67" i="1"/>
  <c r="I67" i="1"/>
  <c r="H67" i="1"/>
  <c r="G67" i="1"/>
  <c r="F67" i="1"/>
  <c r="C66" i="1"/>
  <c r="AG65" i="1"/>
  <c r="AF65" i="1"/>
  <c r="AE65" i="1"/>
  <c r="J69" i="1" s="1"/>
  <c r="AD65" i="1"/>
  <c r="AC65" i="1"/>
  <c r="J68" i="1" s="1"/>
  <c r="AB65" i="1"/>
  <c r="E65" i="1"/>
  <c r="D65" i="1"/>
  <c r="C65" i="1"/>
  <c r="B65" i="1"/>
  <c r="K63" i="1"/>
  <c r="H63" i="1"/>
  <c r="G63" i="1"/>
  <c r="E63" i="1"/>
  <c r="E62" i="1"/>
  <c r="J61" i="1"/>
  <c r="E61" i="1"/>
  <c r="J60" i="1"/>
  <c r="I60" i="1"/>
  <c r="H60" i="1"/>
  <c r="G60" i="1"/>
  <c r="F60" i="1"/>
  <c r="C59" i="1"/>
  <c r="AG58" i="1"/>
  <c r="AF58" i="1"/>
  <c r="AE58" i="1"/>
  <c r="J62" i="1" s="1"/>
  <c r="AD58" i="1"/>
  <c r="AC58" i="1"/>
  <c r="AB58" i="1"/>
  <c r="E58" i="1"/>
  <c r="D58" i="1"/>
  <c r="C58" i="1"/>
  <c r="B58" i="1"/>
  <c r="K56" i="1"/>
  <c r="H56" i="1"/>
  <c r="G56" i="1"/>
  <c r="E56" i="1"/>
  <c r="E55" i="1"/>
  <c r="E54" i="1"/>
  <c r="J53" i="1"/>
  <c r="I53" i="1"/>
  <c r="H53" i="1"/>
  <c r="G53" i="1"/>
  <c r="F53" i="1"/>
  <c r="C52" i="1"/>
  <c r="AG51" i="1"/>
  <c r="AF51" i="1"/>
  <c r="AE51" i="1"/>
  <c r="J55" i="1" s="1"/>
  <c r="AD51" i="1"/>
  <c r="AC51" i="1"/>
  <c r="J54" i="1" s="1"/>
  <c r="AB51" i="1"/>
  <c r="E51" i="1"/>
  <c r="D51" i="1"/>
  <c r="C51" i="1"/>
  <c r="B51" i="1"/>
  <c r="J49" i="1"/>
  <c r="E49" i="1"/>
  <c r="J48" i="1"/>
  <c r="I48" i="1"/>
  <c r="H48" i="1"/>
  <c r="G48" i="1"/>
  <c r="F48" i="1"/>
  <c r="J47" i="1"/>
  <c r="I50" i="1" s="1"/>
  <c r="I47" i="1"/>
  <c r="H47" i="1"/>
  <c r="G47" i="1"/>
  <c r="F47" i="1"/>
  <c r="C46" i="1"/>
  <c r="AG45" i="1"/>
  <c r="AF45" i="1"/>
  <c r="AE45" i="1"/>
  <c r="AD45" i="1"/>
  <c r="AC45" i="1"/>
  <c r="AB45" i="1"/>
  <c r="E45" i="1"/>
  <c r="D45" i="1"/>
  <c r="C45" i="1"/>
  <c r="B45" i="1"/>
  <c r="AG43" i="1"/>
  <c r="AF43" i="1"/>
  <c r="AE43" i="1"/>
  <c r="AD43" i="1"/>
  <c r="AC43" i="1"/>
  <c r="AB43" i="1"/>
  <c r="J43" i="1"/>
  <c r="I43" i="1"/>
  <c r="H43" i="1"/>
  <c r="F43" i="1"/>
  <c r="E43" i="1"/>
  <c r="D43" i="1"/>
  <c r="C43" i="1"/>
  <c r="B43" i="1"/>
  <c r="J42" i="1"/>
  <c r="I44" i="1" s="1"/>
  <c r="I42" i="1"/>
  <c r="H42" i="1"/>
  <c r="G42" i="1"/>
  <c r="F42" i="1"/>
  <c r="AG41" i="1"/>
  <c r="AF41" i="1"/>
  <c r="AE41" i="1"/>
  <c r="AD41" i="1"/>
  <c r="AC41" i="1"/>
  <c r="AB41" i="1"/>
  <c r="E41" i="1"/>
  <c r="D41" i="1"/>
  <c r="C41" i="1"/>
  <c r="B41" i="1"/>
  <c r="J39" i="1"/>
  <c r="I40" i="1" s="1"/>
  <c r="I39" i="1"/>
  <c r="H39" i="1"/>
  <c r="G39" i="1"/>
  <c r="F39" i="1"/>
  <c r="AG38" i="1"/>
  <c r="AF38" i="1"/>
  <c r="AE38" i="1"/>
  <c r="AD38" i="1"/>
  <c r="AC38" i="1"/>
  <c r="AB38" i="1"/>
  <c r="E38" i="1"/>
  <c r="D38" i="1"/>
  <c r="C38" i="1"/>
  <c r="B38" i="1"/>
  <c r="J36" i="1"/>
  <c r="I37" i="1" s="1"/>
  <c r="I36" i="1"/>
  <c r="H36" i="1"/>
  <c r="G36" i="1"/>
  <c r="F36" i="1"/>
  <c r="AG35" i="1"/>
  <c r="AF35" i="1"/>
  <c r="AE35" i="1"/>
  <c r="AD35" i="1"/>
  <c r="AC35" i="1"/>
  <c r="AB35" i="1"/>
  <c r="E35" i="1"/>
  <c r="D35" i="1"/>
  <c r="C35" i="1"/>
  <c r="B35" i="1"/>
  <c r="AP34" i="1"/>
  <c r="A34" i="1"/>
  <c r="A32" i="1"/>
  <c r="I25" i="1"/>
  <c r="I24" i="1"/>
  <c r="I23" i="1"/>
  <c r="I22" i="1"/>
  <c r="I21" i="1"/>
  <c r="A18" i="1"/>
  <c r="AP15" i="1"/>
  <c r="A15" i="1"/>
  <c r="G6" i="1"/>
  <c r="B6" i="1"/>
  <c r="A1" i="1"/>
  <c r="K40" i="1" l="1"/>
  <c r="AA40" i="1"/>
  <c r="AA37" i="1"/>
  <c r="K37" i="1"/>
  <c r="AA357" i="1"/>
  <c r="K357" i="1"/>
  <c r="I57" i="1"/>
  <c r="I64" i="1"/>
  <c r="I88" i="1"/>
  <c r="I95" i="1"/>
  <c r="I111" i="1"/>
  <c r="I132" i="1"/>
  <c r="I228" i="1"/>
  <c r="I235" i="1"/>
  <c r="I259" i="1"/>
  <c r="K296" i="1"/>
  <c r="AA296" i="1"/>
  <c r="I334" i="1"/>
  <c r="AA414" i="1"/>
  <c r="K414" i="1"/>
  <c r="I437" i="1"/>
  <c r="K451" i="1"/>
  <c r="AA451" i="1"/>
  <c r="AA523" i="1"/>
  <c r="K523" i="1"/>
  <c r="AA50" i="1"/>
  <c r="K50" i="1"/>
  <c r="AA177" i="1"/>
  <c r="K177" i="1"/>
  <c r="AA286" i="1"/>
  <c r="K286" i="1"/>
  <c r="K324" i="1"/>
  <c r="AA324" i="1"/>
  <c r="K44" i="1"/>
  <c r="AA44" i="1"/>
  <c r="I78" i="1"/>
  <c r="K99" i="1"/>
  <c r="AA99" i="1"/>
  <c r="AA193" i="1"/>
  <c r="K193" i="1"/>
  <c r="AA208" i="1"/>
  <c r="K208" i="1"/>
  <c r="AA263" i="1"/>
  <c r="K263" i="1"/>
  <c r="I303" i="1"/>
  <c r="I310" i="1"/>
  <c r="I317" i="1"/>
  <c r="I341" i="1"/>
  <c r="I393" i="1"/>
  <c r="AA119" i="1"/>
  <c r="K119" i="1"/>
  <c r="I139" i="1"/>
  <c r="AA146" i="1"/>
  <c r="K146" i="1"/>
  <c r="I153" i="1"/>
  <c r="AA160" i="1"/>
  <c r="K160" i="1"/>
  <c r="I170" i="1"/>
  <c r="AA204" i="1"/>
  <c r="K204" i="1"/>
  <c r="I221" i="1"/>
  <c r="K242" i="1"/>
  <c r="AA242" i="1"/>
  <c r="AA252" i="1"/>
  <c r="K252" i="1"/>
  <c r="AA275" i="1"/>
  <c r="K275" i="1"/>
  <c r="AA290" i="1"/>
  <c r="K290" i="1"/>
  <c r="AA345" i="1"/>
  <c r="K345" i="1"/>
  <c r="AA403" i="1"/>
  <c r="K403" i="1"/>
  <c r="AA422" i="1"/>
  <c r="K422" i="1"/>
  <c r="AA444" i="1"/>
  <c r="K444" i="1"/>
  <c r="K468" i="1"/>
  <c r="AA468" i="1"/>
  <c r="AA516" i="1"/>
  <c r="K516" i="1"/>
  <c r="K103" i="1"/>
  <c r="AA103" i="1"/>
  <c r="I71" i="1"/>
  <c r="K214" i="1"/>
  <c r="AA214" i="1"/>
  <c r="AA372" i="1"/>
  <c r="K372" i="1"/>
  <c r="I379" i="1"/>
  <c r="AA386" i="1"/>
  <c r="K386" i="1"/>
  <c r="I410" i="1"/>
  <c r="K122" i="1"/>
  <c r="K126" i="1"/>
  <c r="K181" i="1"/>
  <c r="K185" i="1"/>
  <c r="K267" i="1"/>
  <c r="K349" i="1"/>
  <c r="K430" i="1"/>
  <c r="I458" i="1"/>
  <c r="K487" i="1"/>
  <c r="AA674" i="1"/>
  <c r="K674" i="1"/>
  <c r="AA716" i="1"/>
  <c r="K716" i="1"/>
  <c r="AA774" i="1"/>
  <c r="K774" i="1"/>
  <c r="I781" i="1"/>
  <c r="I788" i="1"/>
  <c r="AA800" i="1"/>
  <c r="K800" i="1"/>
  <c r="I822" i="1"/>
  <c r="I829" i="1"/>
  <c r="AA863" i="1"/>
  <c r="K863" i="1"/>
  <c r="I870" i="1"/>
  <c r="I997" i="1"/>
  <c r="I1028" i="1"/>
  <c r="AA1056" i="1"/>
  <c r="K1056" i="1"/>
  <c r="I1086" i="1"/>
  <c r="I1100" i="1"/>
  <c r="I1107" i="1"/>
  <c r="K1140" i="1"/>
  <c r="AA1140" i="1"/>
  <c r="M1169" i="1"/>
  <c r="N1169" i="1" s="1"/>
  <c r="L1169" i="1"/>
  <c r="I1219" i="1"/>
  <c r="AA1226" i="1"/>
  <c r="K1226" i="1"/>
  <c r="AA1285" i="1"/>
  <c r="K1285" i="1"/>
  <c r="AA1313" i="1"/>
  <c r="K1313" i="1"/>
  <c r="I502" i="1"/>
  <c r="AA533" i="1"/>
  <c r="K533" i="1"/>
  <c r="AA552" i="1"/>
  <c r="K552" i="1"/>
  <c r="AA560" i="1"/>
  <c r="K560" i="1"/>
  <c r="I574" i="1"/>
  <c r="K609" i="1"/>
  <c r="AA609" i="1"/>
  <c r="I632" i="1"/>
  <c r="I653" i="1"/>
  <c r="I663" i="1"/>
  <c r="I855" i="1"/>
  <c r="AA874" i="1"/>
  <c r="K874" i="1"/>
  <c r="I906" i="1"/>
  <c r="I940" i="1"/>
  <c r="I956" i="1"/>
  <c r="AA986" i="1"/>
  <c r="K986" i="1"/>
  <c r="I1013" i="1"/>
  <c r="I1040" i="1"/>
  <c r="AA1066" i="1"/>
  <c r="K1066" i="1"/>
  <c r="K1073" i="1"/>
  <c r="AA1073" i="1"/>
  <c r="M1186" i="1"/>
  <c r="N1186" i="1" s="1"/>
  <c r="L1186" i="1"/>
  <c r="AA1250" i="1"/>
  <c r="K1250" i="1"/>
  <c r="AA1334" i="1"/>
  <c r="K1334" i="1"/>
  <c r="AA1341" i="1"/>
  <c r="K1341" i="1"/>
  <c r="K479" i="1"/>
  <c r="I509" i="1"/>
  <c r="I540" i="1"/>
  <c r="AA598" i="1"/>
  <c r="K598" i="1"/>
  <c r="K605" i="1"/>
  <c r="AA605" i="1"/>
  <c r="K617" i="1"/>
  <c r="AA617" i="1"/>
  <c r="AA682" i="1"/>
  <c r="K682" i="1"/>
  <c r="AA692" i="1"/>
  <c r="K692" i="1"/>
  <c r="AA698" i="1"/>
  <c r="K698" i="1"/>
  <c r="K731" i="1"/>
  <c r="AA731" i="1"/>
  <c r="I738" i="1"/>
  <c r="I815" i="1"/>
  <c r="K836" i="1"/>
  <c r="AA836" i="1"/>
  <c r="I843" i="1"/>
  <c r="AA891" i="1"/>
  <c r="K891" i="1"/>
  <c r="K921" i="1"/>
  <c r="AA921" i="1"/>
  <c r="I928" i="1"/>
  <c r="K1093" i="1"/>
  <c r="AA1093" i="1"/>
  <c r="K1128" i="1"/>
  <c r="AA1128" i="1"/>
  <c r="L1161" i="1"/>
  <c r="M1161" i="1"/>
  <c r="N1161" i="1" s="1"/>
  <c r="L1178" i="1"/>
  <c r="M1178" i="1"/>
  <c r="N1178" i="1" s="1"/>
  <c r="AA1195" i="1"/>
  <c r="K1195" i="1"/>
  <c r="K1233" i="1"/>
  <c r="AA1233" i="1"/>
  <c r="AA1306" i="1"/>
  <c r="K1306" i="1"/>
  <c r="AA1362" i="1"/>
  <c r="K1362" i="1"/>
  <c r="AA1369" i="1"/>
  <c r="K1369" i="1"/>
  <c r="I475" i="1"/>
  <c r="K495" i="1"/>
  <c r="AA544" i="1"/>
  <c r="K544" i="1"/>
  <c r="AA567" i="1"/>
  <c r="K567" i="1"/>
  <c r="AA581" i="1"/>
  <c r="K581" i="1"/>
  <c r="I588" i="1"/>
  <c r="I639" i="1"/>
  <c r="AA646" i="1"/>
  <c r="K646" i="1"/>
  <c r="I670" i="1"/>
  <c r="K705" i="1"/>
  <c r="AA705" i="1"/>
  <c r="I712" i="1"/>
  <c r="AA742" i="1"/>
  <c r="K742" i="1"/>
  <c r="M752" i="1"/>
  <c r="N752" i="1" s="1"/>
  <c r="L752" i="1"/>
  <c r="AA763" i="1"/>
  <c r="I765" i="1" s="1"/>
  <c r="K763" i="1"/>
  <c r="AA847" i="1"/>
  <c r="K847" i="1"/>
  <c r="AA882" i="1"/>
  <c r="K882" i="1"/>
  <c r="I898" i="1"/>
  <c r="AA932" i="1"/>
  <c r="K932" i="1"/>
  <c r="AA964" i="1"/>
  <c r="K964" i="1"/>
  <c r="I971" i="1"/>
  <c r="AA978" i="1"/>
  <c r="K978" i="1"/>
  <c r="AA1006" i="1"/>
  <c r="K1006" i="1"/>
  <c r="AA1032" i="1"/>
  <c r="K1032" i="1"/>
  <c r="I1052" i="1"/>
  <c r="AA1079" i="1"/>
  <c r="K1079" i="1"/>
  <c r="AA1117" i="1"/>
  <c r="K1117" i="1"/>
  <c r="K1124" i="1"/>
  <c r="AA1124" i="1"/>
  <c r="K1132" i="1"/>
  <c r="AA1132" i="1"/>
  <c r="AA1148" i="1"/>
  <c r="I1150" i="1" s="1"/>
  <c r="K1148" i="1"/>
  <c r="AA1397" i="1"/>
  <c r="K1397" i="1"/>
  <c r="K724" i="1"/>
  <c r="K750" i="1"/>
  <c r="K792" i="1"/>
  <c r="K914" i="1"/>
  <c r="K949" i="1"/>
  <c r="K1159" i="1"/>
  <c r="K1167" i="1"/>
  <c r="I1243" i="1"/>
  <c r="AA1254" i="1"/>
  <c r="K1254" i="1"/>
  <c r="AA1348" i="1"/>
  <c r="I1355" i="1"/>
  <c r="I1376" i="1"/>
  <c r="AA1804" i="1"/>
  <c r="I1806" i="1" s="1"/>
  <c r="K1804" i="1"/>
  <c r="I1860" i="1"/>
  <c r="I1867" i="1"/>
  <c r="I1881" i="1"/>
  <c r="I1891" i="1"/>
  <c r="I1991" i="1"/>
  <c r="AA1998" i="1"/>
  <c r="K1998" i="1"/>
  <c r="I2019" i="1"/>
  <c r="AA2026" i="1"/>
  <c r="K2026" i="1"/>
  <c r="I2047" i="1"/>
  <c r="AA2054" i="1"/>
  <c r="K2054" i="1"/>
  <c r="I2075" i="1"/>
  <c r="AA2082" i="1"/>
  <c r="K2082" i="1"/>
  <c r="I2102" i="1"/>
  <c r="AA2109" i="1"/>
  <c r="K2109" i="1"/>
  <c r="AA2133" i="1"/>
  <c r="K2133" i="1"/>
  <c r="AA2144" i="1"/>
  <c r="K2144" i="1"/>
  <c r="AA2152" i="1"/>
  <c r="K2152" i="1"/>
  <c r="I2208" i="1"/>
  <c r="AA2215" i="1"/>
  <c r="K2215" i="1"/>
  <c r="AA2297" i="1"/>
  <c r="K2297" i="1"/>
  <c r="AA2460" i="1"/>
  <c r="K2460" i="1"/>
  <c r="K1205" i="1"/>
  <c r="I1292" i="1"/>
  <c r="I1383" i="1"/>
  <c r="I1404" i="1"/>
  <c r="I1411" i="1"/>
  <c r="I1418" i="1"/>
  <c r="I1432" i="1"/>
  <c r="I1439" i="1"/>
  <c r="I1446" i="1"/>
  <c r="I1460" i="1"/>
  <c r="I1467" i="1"/>
  <c r="I1474" i="1"/>
  <c r="I1488" i="1"/>
  <c r="I1495" i="1"/>
  <c r="I1502" i="1"/>
  <c r="I1516" i="1"/>
  <c r="I1523" i="1"/>
  <c r="I1530" i="1"/>
  <c r="I1544" i="1"/>
  <c r="I1551" i="1"/>
  <c r="I1558" i="1"/>
  <c r="I1572" i="1"/>
  <c r="I1579" i="1"/>
  <c r="I1586" i="1"/>
  <c r="I1600" i="1"/>
  <c r="I1607" i="1"/>
  <c r="I1614" i="1"/>
  <c r="I1628" i="1"/>
  <c r="I1635" i="1"/>
  <c r="I1642" i="1"/>
  <c r="I1656" i="1"/>
  <c r="I1663" i="1"/>
  <c r="I1670" i="1"/>
  <c r="I1684" i="1"/>
  <c r="I1691" i="1"/>
  <c r="I1698" i="1"/>
  <c r="I1712" i="1"/>
  <c r="I1719" i="1"/>
  <c r="I1726" i="1"/>
  <c r="I1740" i="1"/>
  <c r="I1747" i="1"/>
  <c r="I1795" i="1"/>
  <c r="I1820" i="1"/>
  <c r="I1830" i="1"/>
  <c r="I1898" i="1"/>
  <c r="AA2140" i="1"/>
  <c r="K2140" i="1"/>
  <c r="AA2239" i="1"/>
  <c r="K2239" i="1"/>
  <c r="AA2273" i="1"/>
  <c r="K2273" i="1"/>
  <c r="AA2351" i="1"/>
  <c r="K2351" i="1"/>
  <c r="I2401" i="1"/>
  <c r="AA1199" i="1"/>
  <c r="K1199" i="1"/>
  <c r="I1212" i="1"/>
  <c r="AA1258" i="1"/>
  <c r="K1258" i="1"/>
  <c r="I1299" i="1"/>
  <c r="K1853" i="1"/>
  <c r="AA1853" i="1"/>
  <c r="AA1874" i="1"/>
  <c r="K1874" i="1"/>
  <c r="AA1906" i="1"/>
  <c r="K1906" i="1"/>
  <c r="AA1923" i="1"/>
  <c r="K1923" i="1"/>
  <c r="AA1945" i="1"/>
  <c r="K1945" i="1"/>
  <c r="AA2246" i="1"/>
  <c r="K2246" i="1"/>
  <c r="AA2280" i="1"/>
  <c r="K2280" i="1"/>
  <c r="AA2333" i="1"/>
  <c r="K2333" i="1"/>
  <c r="AA2383" i="1"/>
  <c r="K2383" i="1"/>
  <c r="AA1266" i="1"/>
  <c r="K1266" i="1"/>
  <c r="AA1278" i="1"/>
  <c r="K1278" i="1"/>
  <c r="I1327" i="1"/>
  <c r="AA1390" i="1"/>
  <c r="K1390" i="1"/>
  <c r="AA1425" i="1"/>
  <c r="K1425" i="1"/>
  <c r="AA1453" i="1"/>
  <c r="K1453" i="1"/>
  <c r="AA1481" i="1"/>
  <c r="K1481" i="1"/>
  <c r="AA1509" i="1"/>
  <c r="K1509" i="1"/>
  <c r="AA1537" i="1"/>
  <c r="K1537" i="1"/>
  <c r="AA1565" i="1"/>
  <c r="K1565" i="1"/>
  <c r="AA1593" i="1"/>
  <c r="K1593" i="1"/>
  <c r="AA1621" i="1"/>
  <c r="K1621" i="1"/>
  <c r="AA1649" i="1"/>
  <c r="K1649" i="1"/>
  <c r="AA1677" i="1"/>
  <c r="K1677" i="1"/>
  <c r="AA1705" i="1"/>
  <c r="K1705" i="1"/>
  <c r="AA1733" i="1"/>
  <c r="K1733" i="1"/>
  <c r="AA1759" i="1"/>
  <c r="I1761" i="1" s="1"/>
  <c r="K1759" i="1"/>
  <c r="AA1771" i="1"/>
  <c r="I1773" i="1" s="1"/>
  <c r="K1771" i="1"/>
  <c r="K1783" i="1"/>
  <c r="AA1783" i="1"/>
  <c r="I1785" i="1" s="1"/>
  <c r="AA1914" i="1"/>
  <c r="K1914" i="1"/>
  <c r="M2190" i="1"/>
  <c r="N2190" i="1" s="1"/>
  <c r="L2190" i="1"/>
  <c r="AA2258" i="1"/>
  <c r="K2258" i="1"/>
  <c r="AA2315" i="1"/>
  <c r="K2315" i="1"/>
  <c r="AA2419" i="1"/>
  <c r="K2419" i="1"/>
  <c r="I1930" i="1"/>
  <c r="AA1964" i="1"/>
  <c r="I1966" i="1" s="1"/>
  <c r="K1964" i="1"/>
  <c r="I2012" i="1"/>
  <c r="I2068" i="1"/>
  <c r="I2222" i="1"/>
  <c r="AA2324" i="1"/>
  <c r="AA2360" i="1"/>
  <c r="AA2478" i="1"/>
  <c r="K2478" i="1"/>
  <c r="AA2514" i="1"/>
  <c r="K2514" i="1"/>
  <c r="AA2539" i="1"/>
  <c r="K2539" i="1"/>
  <c r="I2582" i="1"/>
  <c r="AA2625" i="1"/>
  <c r="K2625" i="1"/>
  <c r="AA3145" i="1"/>
  <c r="K3145" i="1"/>
  <c r="AA3194" i="1"/>
  <c r="K3194" i="1"/>
  <c r="K1843" i="1"/>
  <c r="K1847" i="1"/>
  <c r="K1902" i="1"/>
  <c r="K1972" i="1"/>
  <c r="I2033" i="1"/>
  <c r="I2116" i="1"/>
  <c r="I2229" i="1"/>
  <c r="K2250" i="1"/>
  <c r="AA2266" i="1"/>
  <c r="I2282" i="1" s="1"/>
  <c r="I2374" i="1"/>
  <c r="I2410" i="1"/>
  <c r="AA2469" i="1"/>
  <c r="K2469" i="1"/>
  <c r="AA2505" i="1"/>
  <c r="K2505" i="1"/>
  <c r="AA2902" i="1"/>
  <c r="K2902" i="1"/>
  <c r="I3017" i="1"/>
  <c r="AA3015" i="1"/>
  <c r="K3015" i="1"/>
  <c r="AA3133" i="1"/>
  <c r="K3133" i="1"/>
  <c r="AA3201" i="1"/>
  <c r="K3201" i="1"/>
  <c r="AA1938" i="1"/>
  <c r="K1938" i="1"/>
  <c r="K1956" i="1"/>
  <c r="I1979" i="1"/>
  <c r="I2040" i="1"/>
  <c r="I2123" i="1"/>
  <c r="I2172" i="1"/>
  <c r="I2180" i="1"/>
  <c r="I2306" i="1"/>
  <c r="I2342" i="1"/>
  <c r="I2437" i="1"/>
  <c r="AA2496" i="1"/>
  <c r="K2496" i="1"/>
  <c r="I2589" i="1"/>
  <c r="I2597" i="1"/>
  <c r="AA2928" i="1"/>
  <c r="K2928" i="1"/>
  <c r="AA2966" i="1"/>
  <c r="K2966" i="1"/>
  <c r="AA3224" i="1"/>
  <c r="K3224" i="1"/>
  <c r="AA3250" i="1"/>
  <c r="K3250" i="1"/>
  <c r="I1952" i="1"/>
  <c r="I2005" i="1"/>
  <c r="I2061" i="1"/>
  <c r="I2392" i="1"/>
  <c r="I2428" i="1"/>
  <c r="AA2451" i="1"/>
  <c r="I2516" i="1" s="1"/>
  <c r="AA2487" i="1"/>
  <c r="K2487" i="1"/>
  <c r="AA2532" i="1"/>
  <c r="K2532" i="1"/>
  <c r="AA2562" i="1"/>
  <c r="K2562" i="1"/>
  <c r="AA2618" i="1"/>
  <c r="K2618" i="1"/>
  <c r="AA2683" i="1"/>
  <c r="K2683" i="1"/>
  <c r="AA3081" i="1"/>
  <c r="K3081" i="1"/>
  <c r="I2691" i="1"/>
  <c r="AA2710" i="1"/>
  <c r="K2710" i="1"/>
  <c r="I2719" i="1"/>
  <c r="AA2759" i="1"/>
  <c r="K2759" i="1"/>
  <c r="I2766" i="1"/>
  <c r="AA2775" i="1"/>
  <c r="K2775" i="1"/>
  <c r="AA2837" i="1"/>
  <c r="K2837" i="1"/>
  <c r="I2849" i="1"/>
  <c r="I2943" i="1"/>
  <c r="AA2952" i="1"/>
  <c r="K2952" i="1"/>
  <c r="I2975" i="1"/>
  <c r="I3027" i="1"/>
  <c r="I3050" i="1"/>
  <c r="AA3094" i="1"/>
  <c r="K3094" i="1"/>
  <c r="AA3102" i="1"/>
  <c r="K3102" i="1"/>
  <c r="AA3110" i="1"/>
  <c r="K3110" i="1"/>
  <c r="I3124" i="1"/>
  <c r="K3649" i="1"/>
  <c r="AA3649" i="1"/>
  <c r="K3751" i="1"/>
  <c r="AA3751" i="1"/>
  <c r="K3757" i="1"/>
  <c r="AA3757" i="1"/>
  <c r="K3802" i="1"/>
  <c r="AA3802" i="1"/>
  <c r="AA3943" i="1"/>
  <c r="K3943" i="1"/>
  <c r="I3964" i="1"/>
  <c r="AA3971" i="1"/>
  <c r="K3971" i="1"/>
  <c r="AA3983" i="1"/>
  <c r="K3983" i="1"/>
  <c r="K4022" i="1"/>
  <c r="AA4022" i="1"/>
  <c r="I4024" i="1" s="1"/>
  <c r="I4056" i="1"/>
  <c r="AA4063" i="1"/>
  <c r="K4063" i="1"/>
  <c r="AA4319" i="1"/>
  <c r="K4319" i="1"/>
  <c r="I2546" i="1"/>
  <c r="J2553" i="1"/>
  <c r="I2554" i="1" s="1"/>
  <c r="I2661" i="1"/>
  <c r="AA2731" i="1"/>
  <c r="I2738" i="1"/>
  <c r="I2787" i="1"/>
  <c r="I2803" i="1"/>
  <c r="K2834" i="1"/>
  <c r="I2919" i="1"/>
  <c r="I2994" i="1"/>
  <c r="J3056" i="1"/>
  <c r="I3072" i="1"/>
  <c r="I3169" i="1"/>
  <c r="I3179" i="1"/>
  <c r="J3215" i="1"/>
  <c r="AA3241" i="1"/>
  <c r="AA3308" i="1"/>
  <c r="K3308" i="1"/>
  <c r="AA3485" i="1"/>
  <c r="K3711" i="1"/>
  <c r="AA3711" i="1"/>
  <c r="I2605" i="1"/>
  <c r="AA2640" i="1"/>
  <c r="I2648" i="1"/>
  <c r="AA2668" i="1"/>
  <c r="K2668" i="1"/>
  <c r="I2675" i="1"/>
  <c r="I2703" i="1"/>
  <c r="I2794" i="1"/>
  <c r="I2818" i="1"/>
  <c r="AA2873" i="1"/>
  <c r="I2881" i="1"/>
  <c r="I2893" i="1"/>
  <c r="I2986" i="1"/>
  <c r="AA3090" i="1"/>
  <c r="K3090" i="1"/>
  <c r="AA3098" i="1"/>
  <c r="K3098" i="1"/>
  <c r="AA3106" i="1"/>
  <c r="K3106" i="1"/>
  <c r="J3151" i="1"/>
  <c r="I3154" i="1" s="1"/>
  <c r="I3208" i="1"/>
  <c r="AA3323" i="1"/>
  <c r="K3323" i="1"/>
  <c r="I3343" i="1"/>
  <c r="AA3366" i="1"/>
  <c r="I3368" i="1" s="1"/>
  <c r="K3366" i="1"/>
  <c r="I3694" i="1"/>
  <c r="I2575" i="1"/>
  <c r="I2632" i="1"/>
  <c r="K2747" i="1"/>
  <c r="AA2806" i="1"/>
  <c r="K2806" i="1"/>
  <c r="I2825" i="1"/>
  <c r="I2858" i="1"/>
  <c r="I3036" i="1"/>
  <c r="I3059" i="1"/>
  <c r="I3216" i="1"/>
  <c r="I3425" i="1"/>
  <c r="L3537" i="1"/>
  <c r="M3537" i="1"/>
  <c r="N3537" i="1" s="1"/>
  <c r="P3290" i="1"/>
  <c r="AA3378" i="1"/>
  <c r="K3378" i="1"/>
  <c r="AA3387" i="1"/>
  <c r="I3389" i="1" s="1"/>
  <c r="K3387" i="1"/>
  <c r="AA3396" i="1"/>
  <c r="I3398" i="1" s="1"/>
  <c r="K3396" i="1"/>
  <c r="J3410" i="1"/>
  <c r="I3411" i="1" s="1"/>
  <c r="AA3433" i="1"/>
  <c r="I3441" i="1"/>
  <c r="J3452" i="1"/>
  <c r="J3462" i="1"/>
  <c r="I3464" i="1" s="1"/>
  <c r="I3619" i="1"/>
  <c r="AA3673" i="1"/>
  <c r="I3682" i="1"/>
  <c r="I3862" i="1"/>
  <c r="K3869" i="1"/>
  <c r="AA3869" i="1"/>
  <c r="J3277" i="1"/>
  <c r="I3279" i="1" s="1"/>
  <c r="K3288" i="1"/>
  <c r="I3331" i="1"/>
  <c r="J3355" i="1"/>
  <c r="I3357" i="1"/>
  <c r="AA3374" i="1"/>
  <c r="I3380" i="1" s="1"/>
  <c r="K3374" i="1"/>
  <c r="K3476" i="1"/>
  <c r="AA3476" i="1"/>
  <c r="I3487" i="1" s="1"/>
  <c r="K3585" i="1"/>
  <c r="AA3585" i="1"/>
  <c r="K3602" i="1"/>
  <c r="AA3602" i="1"/>
  <c r="I3604" i="1" s="1"/>
  <c r="K3771" i="1"/>
  <c r="AA3771" i="1"/>
  <c r="K3806" i="1"/>
  <c r="AA3806" i="1"/>
  <c r="K3818" i="1"/>
  <c r="AA3818" i="1"/>
  <c r="AA3888" i="1"/>
  <c r="K3888" i="1"/>
  <c r="I3270" i="1"/>
  <c r="I3301" i="1"/>
  <c r="I3455" i="1"/>
  <c r="K3559" i="1"/>
  <c r="AA3559" i="1"/>
  <c r="K3568" i="1"/>
  <c r="AA3568" i="1"/>
  <c r="K3640" i="1"/>
  <c r="AA3640" i="1"/>
  <c r="I3795" i="1"/>
  <c r="K3908" i="1"/>
  <c r="AA3908" i="1"/>
  <c r="I3910" i="1" s="1"/>
  <c r="I3928" i="1"/>
  <c r="I3497" i="1"/>
  <c r="I3628" i="1"/>
  <c r="I3721" i="1"/>
  <c r="I3729" i="1"/>
  <c r="I3778" i="1"/>
  <c r="K3841" i="1"/>
  <c r="AA3841" i="1"/>
  <c r="I3848" i="1"/>
  <c r="AA3896" i="1"/>
  <c r="I3898" i="1" s="1"/>
  <c r="K3896" i="1"/>
  <c r="K3996" i="1"/>
  <c r="AA3996" i="1"/>
  <c r="I4003" i="1"/>
  <c r="I4010" i="1"/>
  <c r="AA4073" i="1"/>
  <c r="K4073" i="1"/>
  <c r="I4092" i="1"/>
  <c r="K4681" i="1"/>
  <c r="AA4681" i="1"/>
  <c r="K4740" i="1"/>
  <c r="AA4740" i="1"/>
  <c r="I3552" i="1"/>
  <c r="K3747" i="1"/>
  <c r="AA3747" i="1"/>
  <c r="K3810" i="1"/>
  <c r="AA3810" i="1"/>
  <c r="AA3833" i="1"/>
  <c r="I3835" i="1" s="1"/>
  <c r="I3876" i="1"/>
  <c r="K3936" i="1"/>
  <c r="I3950" i="1"/>
  <c r="I3957" i="1"/>
  <c r="I4042" i="1"/>
  <c r="I4049" i="1"/>
  <c r="I4080" i="1"/>
  <c r="I3514" i="1"/>
  <c r="I3523" i="1"/>
  <c r="I3666" i="1"/>
  <c r="I3764" i="1"/>
  <c r="K4084" i="1"/>
  <c r="AA4084" i="1"/>
  <c r="AA4160" i="1"/>
  <c r="K4160" i="1"/>
  <c r="AA4247" i="1"/>
  <c r="K4247" i="1"/>
  <c r="AA4283" i="1"/>
  <c r="K4283" i="1"/>
  <c r="AA4126" i="1"/>
  <c r="I4128" i="1" s="1"/>
  <c r="K4126" i="1"/>
  <c r="I4153" i="1"/>
  <c r="I4184" i="1"/>
  <c r="AA4196" i="1"/>
  <c r="K4196" i="1"/>
  <c r="AA4301" i="1"/>
  <c r="K4301" i="1"/>
  <c r="I4310" i="1"/>
  <c r="AA4337" i="1"/>
  <c r="K4337" i="1"/>
  <c r="I4346" i="1"/>
  <c r="AA4360" i="1"/>
  <c r="K4360" i="1"/>
  <c r="AA4446" i="1"/>
  <c r="K4446" i="1"/>
  <c r="I4455" i="1"/>
  <c r="K4491" i="1"/>
  <c r="AA4491" i="1"/>
  <c r="I4639" i="1"/>
  <c r="I4698" i="1"/>
  <c r="K4707" i="1"/>
  <c r="AA4707" i="1"/>
  <c r="AA4724" i="1"/>
  <c r="K4724" i="1"/>
  <c r="K3975" i="1"/>
  <c r="K4014" i="1"/>
  <c r="K4035" i="1"/>
  <c r="I4114" i="1"/>
  <c r="K4139" i="1"/>
  <c r="AA4233" i="1"/>
  <c r="I4240" i="1"/>
  <c r="I4266" i="1"/>
  <c r="I4405" i="1"/>
  <c r="AA4414" i="1"/>
  <c r="K4414" i="1"/>
  <c r="K4423" i="1"/>
  <c r="K4752" i="1"/>
  <c r="AA4761" i="1"/>
  <c r="I4763" i="1" s="1"/>
  <c r="K4761" i="1"/>
  <c r="K4811" i="1"/>
  <c r="AA4811" i="1"/>
  <c r="I4167" i="1"/>
  <c r="AA4188" i="1"/>
  <c r="K4188" i="1"/>
  <c r="I4211" i="1"/>
  <c r="AA4219" i="1"/>
  <c r="K4219" i="1"/>
  <c r="I4226" i="1"/>
  <c r="I4292" i="1"/>
  <c r="I4328" i="1"/>
  <c r="I4387" i="1"/>
  <c r="AA4396" i="1"/>
  <c r="K4396" i="1"/>
  <c r="I4437" i="1"/>
  <c r="K4473" i="1"/>
  <c r="AA4473" i="1"/>
  <c r="AA4100" i="1"/>
  <c r="K4100" i="1"/>
  <c r="I4107" i="1"/>
  <c r="I4177" i="1"/>
  <c r="I4254" i="1"/>
  <c r="AA4378" i="1"/>
  <c r="K4378" i="1"/>
  <c r="K4482" i="1"/>
  <c r="AA4482" i="1"/>
  <c r="K4543" i="1"/>
  <c r="AA4543" i="1"/>
  <c r="K4555" i="1"/>
  <c r="AA4555" i="1"/>
  <c r="I4557" i="1" s="1"/>
  <c r="AA4593" i="1"/>
  <c r="K4593" i="1"/>
  <c r="K4844" i="1"/>
  <c r="AA4844" i="1"/>
  <c r="J4573" i="1"/>
  <c r="L4612" i="1"/>
  <c r="I4804" i="1"/>
  <c r="I4832" i="1"/>
  <c r="AA4464" i="1"/>
  <c r="I4520" i="1"/>
  <c r="I4527" i="1"/>
  <c r="I4602" i="1"/>
  <c r="P4612" i="1"/>
  <c r="I4627" i="1"/>
  <c r="K4646" i="1"/>
  <c r="AA4646" i="1"/>
  <c r="I4655" i="1"/>
  <c r="I4683" i="1"/>
  <c r="I4851" i="1"/>
  <c r="I4860" i="1"/>
  <c r="I4535" i="1"/>
  <c r="I4567" i="1"/>
  <c r="I4576" i="1"/>
  <c r="K4610" i="1"/>
  <c r="I4731" i="1"/>
  <c r="J4774" i="1"/>
  <c r="I4778" i="1" s="1"/>
  <c r="J4776" i="1"/>
  <c r="I4787" i="1"/>
  <c r="I4820" i="1"/>
  <c r="L3835" i="1" l="1"/>
  <c r="M3835" i="1"/>
  <c r="N3835" i="1" s="1"/>
  <c r="AA4778" i="1"/>
  <c r="K4778" i="1"/>
  <c r="M4763" i="1"/>
  <c r="N4763" i="1" s="1"/>
  <c r="L4763" i="1"/>
  <c r="AA2554" i="1"/>
  <c r="K2554" i="1"/>
  <c r="AA3279" i="1"/>
  <c r="K3279" i="1"/>
  <c r="AA3464" i="1"/>
  <c r="K3464" i="1"/>
  <c r="AA3411" i="1"/>
  <c r="K3411" i="1"/>
  <c r="AA3154" i="1"/>
  <c r="K3154" i="1"/>
  <c r="K4527" i="1"/>
  <c r="AA4527" i="1"/>
  <c r="AA4167" i="1"/>
  <c r="K4167" i="1"/>
  <c r="K4820" i="1"/>
  <c r="AA4820" i="1"/>
  <c r="K4731" i="1"/>
  <c r="AA4731" i="1"/>
  <c r="I4742" i="1" s="1"/>
  <c r="AA4535" i="1"/>
  <c r="K4535" i="1"/>
  <c r="K4627" i="1"/>
  <c r="AA4627" i="1"/>
  <c r="AA4520" i="1"/>
  <c r="K4520" i="1"/>
  <c r="K4292" i="1"/>
  <c r="AA4292" i="1"/>
  <c r="K4211" i="1"/>
  <c r="AA4211" i="1"/>
  <c r="I4213" i="1" s="1"/>
  <c r="AA4405" i="1"/>
  <c r="K4405" i="1"/>
  <c r="AA4153" i="1"/>
  <c r="K4153" i="1"/>
  <c r="M4128" i="1"/>
  <c r="N4128" i="1" s="1"/>
  <c r="L4128" i="1"/>
  <c r="AA3514" i="1"/>
  <c r="K3514" i="1"/>
  <c r="K3957" i="1"/>
  <c r="AA3957" i="1"/>
  <c r="AA3552" i="1"/>
  <c r="K3552" i="1"/>
  <c r="AA4010" i="1"/>
  <c r="K4010" i="1"/>
  <c r="AA3721" i="1"/>
  <c r="K3721" i="1"/>
  <c r="AA3795" i="1"/>
  <c r="K3795" i="1"/>
  <c r="AA3059" i="1"/>
  <c r="K3059" i="1"/>
  <c r="AA2575" i="1"/>
  <c r="K2575" i="1"/>
  <c r="AA3343" i="1"/>
  <c r="I3345" i="1" s="1"/>
  <c r="K3343" i="1"/>
  <c r="K2893" i="1"/>
  <c r="AA2893" i="1"/>
  <c r="I2904" i="1" s="1"/>
  <c r="AA2794" i="1"/>
  <c r="K2794" i="1"/>
  <c r="AA3169" i="1"/>
  <c r="K3169" i="1"/>
  <c r="K2919" i="1"/>
  <c r="AA2919" i="1"/>
  <c r="I2930" i="1" s="1"/>
  <c r="AA2738" i="1"/>
  <c r="K2738" i="1"/>
  <c r="AA2546" i="1"/>
  <c r="I3734" i="1" s="1"/>
  <c r="K2546" i="1"/>
  <c r="L4024" i="1"/>
  <c r="M4024" i="1"/>
  <c r="N4024" i="1" s="1"/>
  <c r="AA2766" i="1"/>
  <c r="K2766" i="1"/>
  <c r="I2564" i="1"/>
  <c r="K2428" i="1"/>
  <c r="AA2428" i="1"/>
  <c r="K2005" i="1"/>
  <c r="AA2005" i="1"/>
  <c r="AA2342" i="1"/>
  <c r="K2342" i="1"/>
  <c r="K2040" i="1"/>
  <c r="AA2040" i="1"/>
  <c r="M2282" i="1"/>
  <c r="N2282" i="1" s="1"/>
  <c r="L2282" i="1"/>
  <c r="AA2033" i="1"/>
  <c r="K2033" i="1"/>
  <c r="K2582" i="1"/>
  <c r="AA2582" i="1"/>
  <c r="K2012" i="1"/>
  <c r="AA2012" i="1"/>
  <c r="O2190" i="1"/>
  <c r="P2190" i="1" s="1"/>
  <c r="M1761" i="1"/>
  <c r="N1761" i="1" s="1"/>
  <c r="L1761" i="1"/>
  <c r="AA2401" i="1"/>
  <c r="K2401" i="1"/>
  <c r="AA1795" i="1"/>
  <c r="I1797" i="1" s="1"/>
  <c r="K1795" i="1"/>
  <c r="AA1719" i="1"/>
  <c r="K1719" i="1"/>
  <c r="K1684" i="1"/>
  <c r="AA1684" i="1"/>
  <c r="AA1642" i="1"/>
  <c r="K1642" i="1"/>
  <c r="AA1607" i="1"/>
  <c r="K1607" i="1"/>
  <c r="K1572" i="1"/>
  <c r="AA1572" i="1"/>
  <c r="AA1530" i="1"/>
  <c r="K1530" i="1"/>
  <c r="AA1495" i="1"/>
  <c r="K1495" i="1"/>
  <c r="K1460" i="1"/>
  <c r="AA1460" i="1"/>
  <c r="AA1418" i="1"/>
  <c r="K1418" i="1"/>
  <c r="K1292" i="1"/>
  <c r="AA1292" i="1"/>
  <c r="AA2208" i="1"/>
  <c r="K2208" i="1"/>
  <c r="AA2047" i="1"/>
  <c r="K2047" i="1"/>
  <c r="AA1891" i="1"/>
  <c r="K1891" i="1"/>
  <c r="AA1052" i="1"/>
  <c r="I1058" i="1" s="1"/>
  <c r="K1052" i="1"/>
  <c r="AA712" i="1"/>
  <c r="K712" i="1"/>
  <c r="O1161" i="1"/>
  <c r="P1161" i="1" s="1"/>
  <c r="AA1013" i="1"/>
  <c r="I1015" i="1" s="1"/>
  <c r="K1013" i="1"/>
  <c r="AA940" i="1"/>
  <c r="K940" i="1"/>
  <c r="AA855" i="1"/>
  <c r="K855" i="1"/>
  <c r="AA632" i="1"/>
  <c r="K632" i="1"/>
  <c r="AA1086" i="1"/>
  <c r="K1086" i="1"/>
  <c r="AA997" i="1"/>
  <c r="I999" i="1" s="1"/>
  <c r="K997" i="1"/>
  <c r="AA458" i="1"/>
  <c r="K458" i="1"/>
  <c r="AA410" i="1"/>
  <c r="K410" i="1"/>
  <c r="K153" i="1"/>
  <c r="AA153" i="1"/>
  <c r="AA317" i="1"/>
  <c r="K317" i="1"/>
  <c r="AA132" i="1"/>
  <c r="K132" i="1"/>
  <c r="AA64" i="1"/>
  <c r="K64" i="1"/>
  <c r="AA4804" i="1"/>
  <c r="K4804" i="1"/>
  <c r="K4437" i="1"/>
  <c r="AA4437" i="1"/>
  <c r="AA3523" i="1"/>
  <c r="K3523" i="1"/>
  <c r="AA4787" i="1"/>
  <c r="K4787" i="1"/>
  <c r="AA4860" i="1"/>
  <c r="K4860" i="1"/>
  <c r="K4655" i="1"/>
  <c r="AA4655" i="1"/>
  <c r="K4177" i="1"/>
  <c r="AA4177" i="1"/>
  <c r="AA4226" i="1"/>
  <c r="K4226" i="1"/>
  <c r="AA4266" i="1"/>
  <c r="K4266" i="1"/>
  <c r="K4114" i="1"/>
  <c r="AA4114" i="1"/>
  <c r="AA3764" i="1"/>
  <c r="K3764" i="1"/>
  <c r="K4080" i="1"/>
  <c r="AA4080" i="1"/>
  <c r="AA3950" i="1"/>
  <c r="K3950" i="1"/>
  <c r="K4092" i="1"/>
  <c r="AA4092" i="1"/>
  <c r="AA4003" i="1"/>
  <c r="K4003" i="1"/>
  <c r="AA3628" i="1"/>
  <c r="K3628" i="1"/>
  <c r="I3651" i="1"/>
  <c r="AA3301" i="1"/>
  <c r="K3301" i="1"/>
  <c r="I3607" i="1"/>
  <c r="L3607" i="1" s="1"/>
  <c r="I3587" i="1"/>
  <c r="AA3331" i="1"/>
  <c r="K3331" i="1"/>
  <c r="AA3619" i="1"/>
  <c r="K3619" i="1"/>
  <c r="AA3441" i="1"/>
  <c r="K3441" i="1"/>
  <c r="M3398" i="1"/>
  <c r="N3398" i="1" s="1"/>
  <c r="L3398" i="1"/>
  <c r="AA3425" i="1"/>
  <c r="K3425" i="1"/>
  <c r="AA3036" i="1"/>
  <c r="K3036" i="1"/>
  <c r="AA3694" i="1"/>
  <c r="I3696" i="1" s="1"/>
  <c r="K3694" i="1"/>
  <c r="AA2881" i="1"/>
  <c r="K2881" i="1"/>
  <c r="AA2703" i="1"/>
  <c r="K2703" i="1"/>
  <c r="AA2648" i="1"/>
  <c r="K2648" i="1"/>
  <c r="I3252" i="1"/>
  <c r="K3072" i="1"/>
  <c r="AA3072" i="1"/>
  <c r="I3083" i="1" s="1"/>
  <c r="I2749" i="1"/>
  <c r="AA4056" i="1"/>
  <c r="K4056" i="1"/>
  <c r="AA3050" i="1"/>
  <c r="I3061" i="1" s="1"/>
  <c r="K3050" i="1"/>
  <c r="K2392" i="1"/>
  <c r="AA2392" i="1"/>
  <c r="K1952" i="1"/>
  <c r="AA1952" i="1"/>
  <c r="I1958" i="1" s="1"/>
  <c r="AA2306" i="1"/>
  <c r="K2306" i="1"/>
  <c r="K1979" i="1"/>
  <c r="AA1979" i="1"/>
  <c r="I1981" i="1" s="1"/>
  <c r="I3156" i="1"/>
  <c r="AA2222" i="1"/>
  <c r="K2222" i="1"/>
  <c r="K1212" i="1"/>
  <c r="AA1212" i="1"/>
  <c r="I1268" i="1" s="1"/>
  <c r="AA1898" i="1"/>
  <c r="K1898" i="1"/>
  <c r="AA1747" i="1"/>
  <c r="K1747" i="1"/>
  <c r="K1712" i="1"/>
  <c r="AA1712" i="1"/>
  <c r="AA1670" i="1"/>
  <c r="K1670" i="1"/>
  <c r="AA1635" i="1"/>
  <c r="K1635" i="1"/>
  <c r="K1600" i="1"/>
  <c r="AA1600" i="1"/>
  <c r="AA1558" i="1"/>
  <c r="K1558" i="1"/>
  <c r="AA1523" i="1"/>
  <c r="K1523" i="1"/>
  <c r="K1488" i="1"/>
  <c r="AA1488" i="1"/>
  <c r="AA1446" i="1"/>
  <c r="K1446" i="1"/>
  <c r="AA1411" i="1"/>
  <c r="K1411" i="1"/>
  <c r="I2362" i="1"/>
  <c r="AA2075" i="1"/>
  <c r="K2075" i="1"/>
  <c r="K1881" i="1"/>
  <c r="AA1881" i="1"/>
  <c r="M1806" i="1"/>
  <c r="N1806" i="1" s="1"/>
  <c r="L1806" i="1"/>
  <c r="AA898" i="1"/>
  <c r="K898" i="1"/>
  <c r="O752" i="1"/>
  <c r="P752" i="1" s="1"/>
  <c r="I718" i="1"/>
  <c r="O1186" i="1"/>
  <c r="P1186" i="1" s="1"/>
  <c r="AA906" i="1"/>
  <c r="K906" i="1"/>
  <c r="AA1219" i="1"/>
  <c r="K1219" i="1"/>
  <c r="AA829" i="1"/>
  <c r="K829" i="1"/>
  <c r="AA788" i="1"/>
  <c r="K788" i="1"/>
  <c r="K71" i="1"/>
  <c r="AA71" i="1"/>
  <c r="AA221" i="1"/>
  <c r="I277" i="1" s="1"/>
  <c r="K221" i="1"/>
  <c r="AA170" i="1"/>
  <c r="K170" i="1"/>
  <c r="AA310" i="1"/>
  <c r="K310" i="1"/>
  <c r="AA259" i="1"/>
  <c r="K259" i="1"/>
  <c r="K111" i="1"/>
  <c r="AA111" i="1"/>
  <c r="AA57" i="1"/>
  <c r="K57" i="1"/>
  <c r="L4683" i="1"/>
  <c r="M4683" i="1"/>
  <c r="AA4254" i="1"/>
  <c r="K4254" i="1"/>
  <c r="AA4184" i="1"/>
  <c r="K4184" i="1"/>
  <c r="AA4576" i="1"/>
  <c r="K4576" i="1"/>
  <c r="AA4851" i="1"/>
  <c r="I4862" i="1" s="1"/>
  <c r="K4851" i="1"/>
  <c r="AA4602" i="1"/>
  <c r="K4602" i="1"/>
  <c r="AA4832" i="1"/>
  <c r="I4834" i="1" s="1"/>
  <c r="K4832" i="1"/>
  <c r="I4604" i="1"/>
  <c r="AA4107" i="1"/>
  <c r="I4120" i="1" s="1"/>
  <c r="K4107" i="1"/>
  <c r="AA4387" i="1"/>
  <c r="K4387" i="1"/>
  <c r="AA4240" i="1"/>
  <c r="I4268" i="1" s="1"/>
  <c r="K4240" i="1"/>
  <c r="K4698" i="1"/>
  <c r="AA4698" i="1"/>
  <c r="AA4455" i="1"/>
  <c r="K4455" i="1"/>
  <c r="I4425" i="1"/>
  <c r="K4310" i="1"/>
  <c r="AA4310" i="1"/>
  <c r="I4348" i="1" s="1"/>
  <c r="AA3666" i="1"/>
  <c r="K3666" i="1"/>
  <c r="K4049" i="1"/>
  <c r="AA4049" i="1"/>
  <c r="I4027" i="1"/>
  <c r="L4027" i="1" s="1"/>
  <c r="I4016" i="1"/>
  <c r="M3898" i="1"/>
  <c r="N3898" i="1" s="1"/>
  <c r="L3898" i="1"/>
  <c r="AA3778" i="1"/>
  <c r="K3778" i="1"/>
  <c r="AA3497" i="1"/>
  <c r="I3499" i="1" s="1"/>
  <c r="K3497" i="1"/>
  <c r="L3910" i="1"/>
  <c r="M3910" i="1"/>
  <c r="N3910" i="1" s="1"/>
  <c r="K3270" i="1"/>
  <c r="AA3270" i="1"/>
  <c r="I3281" i="1" s="1"/>
  <c r="M3380" i="1"/>
  <c r="N3380" i="1" s="1"/>
  <c r="L3380" i="1"/>
  <c r="AA3862" i="1"/>
  <c r="K3862" i="1"/>
  <c r="AA2858" i="1"/>
  <c r="K2858" i="1"/>
  <c r="I3112" i="1"/>
  <c r="I2933" i="1"/>
  <c r="L2933" i="1" s="1"/>
  <c r="I2883" i="1"/>
  <c r="AA2675" i="1"/>
  <c r="K2675" i="1"/>
  <c r="AA2803" i="1"/>
  <c r="K2803" i="1"/>
  <c r="AA2661" i="1"/>
  <c r="I2693" i="1" s="1"/>
  <c r="K2661" i="1"/>
  <c r="AA3964" i="1"/>
  <c r="K3964" i="1"/>
  <c r="K3124" i="1"/>
  <c r="AA3124" i="1"/>
  <c r="I3135" i="1" s="1"/>
  <c r="AA3027" i="1"/>
  <c r="I3038" i="1" s="1"/>
  <c r="K3027" i="1"/>
  <c r="AA2943" i="1"/>
  <c r="I2954" i="1" s="1"/>
  <c r="K2943" i="1"/>
  <c r="I2777" i="1"/>
  <c r="AA2691" i="1"/>
  <c r="K2691" i="1"/>
  <c r="K2597" i="1"/>
  <c r="AA2597" i="1"/>
  <c r="K2180" i="1"/>
  <c r="AA2180" i="1"/>
  <c r="K2410" i="1"/>
  <c r="AA2410" i="1"/>
  <c r="K2229" i="1"/>
  <c r="AA2229" i="1"/>
  <c r="M1966" i="1"/>
  <c r="N1966" i="1" s="1"/>
  <c r="L1966" i="1"/>
  <c r="M1773" i="1"/>
  <c r="N1773" i="1" s="1"/>
  <c r="L1773" i="1"/>
  <c r="AA1299" i="1"/>
  <c r="I1749" i="1" s="1"/>
  <c r="K1299" i="1"/>
  <c r="K1830" i="1"/>
  <c r="AA1830" i="1"/>
  <c r="K1740" i="1"/>
  <c r="AA1740" i="1"/>
  <c r="AA1698" i="1"/>
  <c r="K1698" i="1"/>
  <c r="AA1663" i="1"/>
  <c r="K1663" i="1"/>
  <c r="K1628" i="1"/>
  <c r="AA1628" i="1"/>
  <c r="AA1586" i="1"/>
  <c r="K1586" i="1"/>
  <c r="AA1551" i="1"/>
  <c r="K1551" i="1"/>
  <c r="K1516" i="1"/>
  <c r="AA1516" i="1"/>
  <c r="AA1474" i="1"/>
  <c r="K1474" i="1"/>
  <c r="AA1439" i="1"/>
  <c r="K1439" i="1"/>
  <c r="K1404" i="1"/>
  <c r="AA1404" i="1"/>
  <c r="AA2102" i="1"/>
  <c r="K2102" i="1"/>
  <c r="AA1991" i="1"/>
  <c r="K1991" i="1"/>
  <c r="AA1867" i="1"/>
  <c r="K1867" i="1"/>
  <c r="K1376" i="1"/>
  <c r="AA1376" i="1"/>
  <c r="AA639" i="1"/>
  <c r="K639" i="1"/>
  <c r="O1178" i="1"/>
  <c r="P1178" i="1" s="1"/>
  <c r="AA928" i="1"/>
  <c r="I942" i="1" s="1"/>
  <c r="K928" i="1"/>
  <c r="I908" i="1"/>
  <c r="AA815" i="1"/>
  <c r="K815" i="1"/>
  <c r="AA540" i="1"/>
  <c r="K540" i="1"/>
  <c r="AA1040" i="1"/>
  <c r="K1040" i="1"/>
  <c r="AA663" i="1"/>
  <c r="K663" i="1"/>
  <c r="K502" i="1"/>
  <c r="AA502" i="1"/>
  <c r="AA1107" i="1"/>
  <c r="K1107" i="1"/>
  <c r="AA870" i="1"/>
  <c r="I884" i="1" s="1"/>
  <c r="K870" i="1"/>
  <c r="AA822" i="1"/>
  <c r="K822" i="1"/>
  <c r="AA781" i="1"/>
  <c r="I802" i="1" s="1"/>
  <c r="K781" i="1"/>
  <c r="K393" i="1"/>
  <c r="AA393" i="1"/>
  <c r="AA303" i="1"/>
  <c r="I359" i="1" s="1"/>
  <c r="K303" i="1"/>
  <c r="K437" i="1"/>
  <c r="AA437" i="1"/>
  <c r="AA334" i="1"/>
  <c r="K334" i="1"/>
  <c r="AA235" i="1"/>
  <c r="K235" i="1"/>
  <c r="K95" i="1"/>
  <c r="AA95" i="1"/>
  <c r="AA4567" i="1"/>
  <c r="I4578" i="1" s="1"/>
  <c r="K4567" i="1"/>
  <c r="L4557" i="1"/>
  <c r="M4557" i="1"/>
  <c r="N4557" i="1" s="1"/>
  <c r="K4328" i="1"/>
  <c r="AA4328" i="1"/>
  <c r="AA4639" i="1"/>
  <c r="I4657" i="1" s="1"/>
  <c r="K4639" i="1"/>
  <c r="K4346" i="1"/>
  <c r="AA4346" i="1"/>
  <c r="AA4042" i="1"/>
  <c r="K4042" i="1"/>
  <c r="AA3876" i="1"/>
  <c r="K3876" i="1"/>
  <c r="AA3848" i="1"/>
  <c r="I3890" i="1" s="1"/>
  <c r="K3848" i="1"/>
  <c r="AA3729" i="1"/>
  <c r="I3731" i="1" s="1"/>
  <c r="K3729" i="1"/>
  <c r="AA3928" i="1"/>
  <c r="K3928" i="1"/>
  <c r="AA3455" i="1"/>
  <c r="I3466" i="1" s="1"/>
  <c r="K3455" i="1"/>
  <c r="L3604" i="1"/>
  <c r="M3604" i="1"/>
  <c r="N3604" i="1" s="1"/>
  <c r="L3487" i="1"/>
  <c r="M3487" i="1"/>
  <c r="N3487" i="1" s="1"/>
  <c r="AA3357" i="1"/>
  <c r="I3359" i="1" s="1"/>
  <c r="K3357" i="1"/>
  <c r="K3682" i="1"/>
  <c r="AA3682" i="1"/>
  <c r="M3389" i="1"/>
  <c r="N3389" i="1" s="1"/>
  <c r="L3389" i="1"/>
  <c r="P3537" i="1"/>
  <c r="O3537" i="1"/>
  <c r="AA3216" i="1"/>
  <c r="K3216" i="1"/>
  <c r="AA2825" i="1"/>
  <c r="K2825" i="1"/>
  <c r="AA2632" i="1"/>
  <c r="I2650" i="1" s="1"/>
  <c r="K2632" i="1"/>
  <c r="M3368" i="1"/>
  <c r="N3368" i="1" s="1"/>
  <c r="L3368" i="1"/>
  <c r="K3208" i="1"/>
  <c r="AA3208" i="1"/>
  <c r="I3255" i="1" s="1"/>
  <c r="L3255" i="1" s="1"/>
  <c r="K2986" i="1"/>
  <c r="AA2986" i="1"/>
  <c r="K2818" i="1"/>
  <c r="AA2818" i="1"/>
  <c r="I2839" i="1" s="1"/>
  <c r="AA2605" i="1"/>
  <c r="K2605" i="1"/>
  <c r="AA3179" i="1"/>
  <c r="K3179" i="1"/>
  <c r="K2994" i="1"/>
  <c r="AA2994" i="1"/>
  <c r="K2787" i="1"/>
  <c r="AA2787" i="1"/>
  <c r="I2808" i="1" s="1"/>
  <c r="K2975" i="1"/>
  <c r="AA2975" i="1"/>
  <c r="AA2849" i="1"/>
  <c r="I2860" i="1" s="1"/>
  <c r="K2849" i="1"/>
  <c r="K2719" i="1"/>
  <c r="AA2719" i="1"/>
  <c r="M2516" i="1"/>
  <c r="N2516" i="1" s="1"/>
  <c r="L2516" i="1"/>
  <c r="K2061" i="1"/>
  <c r="AA2061" i="1"/>
  <c r="I2996" i="1"/>
  <c r="AA2589" i="1"/>
  <c r="K2589" i="1"/>
  <c r="AA2437" i="1"/>
  <c r="K2437" i="1"/>
  <c r="K2172" i="1"/>
  <c r="AA2172" i="1"/>
  <c r="K2123" i="1"/>
  <c r="AA2123" i="1"/>
  <c r="M3017" i="1"/>
  <c r="N3017" i="1" s="1"/>
  <c r="L3017" i="1"/>
  <c r="K2374" i="1"/>
  <c r="AA2374" i="1"/>
  <c r="I2439" i="1" s="1"/>
  <c r="AA2116" i="1"/>
  <c r="K2116" i="1"/>
  <c r="K2068" i="1"/>
  <c r="AA2068" i="1"/>
  <c r="AA1930" i="1"/>
  <c r="K1930" i="1"/>
  <c r="L1785" i="1"/>
  <c r="M1785" i="1"/>
  <c r="N1785" i="1" s="1"/>
  <c r="AA1327" i="1"/>
  <c r="K1327" i="1"/>
  <c r="I1932" i="1"/>
  <c r="AA1820" i="1"/>
  <c r="I1832" i="1" s="1"/>
  <c r="K1820" i="1"/>
  <c r="AA1726" i="1"/>
  <c r="K1726" i="1"/>
  <c r="AA1691" i="1"/>
  <c r="K1691" i="1"/>
  <c r="K1656" i="1"/>
  <c r="AA1656" i="1"/>
  <c r="AA1614" i="1"/>
  <c r="K1614" i="1"/>
  <c r="AA1579" i="1"/>
  <c r="K1579" i="1"/>
  <c r="K1544" i="1"/>
  <c r="AA1544" i="1"/>
  <c r="AA1502" i="1"/>
  <c r="K1502" i="1"/>
  <c r="AA1467" i="1"/>
  <c r="K1467" i="1"/>
  <c r="K1432" i="1"/>
  <c r="AA1432" i="1"/>
  <c r="AA1383" i="1"/>
  <c r="K1383" i="1"/>
  <c r="AA2019" i="1"/>
  <c r="K2019" i="1"/>
  <c r="AA1860" i="1"/>
  <c r="K1860" i="1"/>
  <c r="AA1355" i="1"/>
  <c r="K1355" i="1"/>
  <c r="AA1243" i="1"/>
  <c r="K1243" i="1"/>
  <c r="M1150" i="1"/>
  <c r="N1150" i="1" s="1"/>
  <c r="L1150" i="1"/>
  <c r="AA971" i="1"/>
  <c r="I988" i="1" s="1"/>
  <c r="K971" i="1"/>
  <c r="M765" i="1"/>
  <c r="N765" i="1" s="1"/>
  <c r="L765" i="1"/>
  <c r="AA670" i="1"/>
  <c r="K670" i="1"/>
  <c r="AA588" i="1"/>
  <c r="K588" i="1"/>
  <c r="AA475" i="1"/>
  <c r="K475" i="1"/>
  <c r="AA843" i="1"/>
  <c r="K843" i="1"/>
  <c r="AA738" i="1"/>
  <c r="I744" i="1" s="1"/>
  <c r="K738" i="1"/>
  <c r="AA509" i="1"/>
  <c r="K509" i="1"/>
  <c r="K956" i="1"/>
  <c r="AA956" i="1"/>
  <c r="I958" i="1" s="1"/>
  <c r="K653" i="1"/>
  <c r="AA653" i="1"/>
  <c r="K574" i="1"/>
  <c r="AA574" i="1"/>
  <c r="I619" i="1" s="1"/>
  <c r="O1169" i="1"/>
  <c r="P1169" i="1" s="1"/>
  <c r="AA1100" i="1"/>
  <c r="I1153" i="1" s="1"/>
  <c r="L1153" i="1" s="1"/>
  <c r="K1100" i="1"/>
  <c r="AA1028" i="1"/>
  <c r="I1042" i="1" s="1"/>
  <c r="K1028" i="1"/>
  <c r="AA379" i="1"/>
  <c r="I424" i="1" s="1"/>
  <c r="K379" i="1"/>
  <c r="AA139" i="1"/>
  <c r="I195" i="1" s="1"/>
  <c r="K139" i="1"/>
  <c r="AA341" i="1"/>
  <c r="K341" i="1"/>
  <c r="AA78" i="1"/>
  <c r="K78" i="1"/>
  <c r="AA228" i="1"/>
  <c r="K228" i="1"/>
  <c r="AA88" i="1"/>
  <c r="K88" i="1"/>
  <c r="L619" i="1" l="1"/>
  <c r="M619" i="1"/>
  <c r="N619" i="1" s="1"/>
  <c r="M942" i="1"/>
  <c r="N942" i="1" s="1"/>
  <c r="L942" i="1"/>
  <c r="M988" i="1"/>
  <c r="N988" i="1" s="1"/>
  <c r="L988" i="1"/>
  <c r="M2650" i="1"/>
  <c r="N2650" i="1" s="1"/>
  <c r="L2650" i="1"/>
  <c r="M3890" i="1"/>
  <c r="N3890" i="1" s="1"/>
  <c r="L3890" i="1"/>
  <c r="M359" i="1"/>
  <c r="N359" i="1" s="1"/>
  <c r="L359" i="1"/>
  <c r="M802" i="1"/>
  <c r="N802" i="1" s="1"/>
  <c r="L802" i="1"/>
  <c r="M884" i="1"/>
  <c r="N884" i="1" s="1"/>
  <c r="L884" i="1"/>
  <c r="M4862" i="1"/>
  <c r="N4862" i="1" s="1"/>
  <c r="L4862" i="1"/>
  <c r="M277" i="1"/>
  <c r="N277" i="1" s="1"/>
  <c r="L277" i="1"/>
  <c r="L4742" i="1"/>
  <c r="M4742" i="1"/>
  <c r="M195" i="1"/>
  <c r="N195" i="1" s="1"/>
  <c r="L195" i="1"/>
  <c r="M744" i="1"/>
  <c r="N744" i="1" s="1"/>
  <c r="L744" i="1"/>
  <c r="M424" i="1"/>
  <c r="N424" i="1" s="1"/>
  <c r="L424" i="1"/>
  <c r="L4348" i="1"/>
  <c r="M4348" i="1"/>
  <c r="N4348" i="1" s="1"/>
  <c r="M4268" i="1"/>
  <c r="N4268" i="1" s="1"/>
  <c r="L4268" i="1"/>
  <c r="L4120" i="1"/>
  <c r="M4120" i="1"/>
  <c r="N4120" i="1" s="1"/>
  <c r="M1268" i="1"/>
  <c r="N1268" i="1" s="1"/>
  <c r="L1268" i="1"/>
  <c r="M3731" i="1"/>
  <c r="N3731" i="1" s="1"/>
  <c r="L3731" i="1"/>
  <c r="M1749" i="1"/>
  <c r="N1749" i="1" s="1"/>
  <c r="L1749" i="1"/>
  <c r="M1958" i="1"/>
  <c r="N1958" i="1" s="1"/>
  <c r="L1958" i="1"/>
  <c r="M1015" i="1"/>
  <c r="N1015" i="1" s="1"/>
  <c r="L1015" i="1"/>
  <c r="L3734" i="1"/>
  <c r="M3734" i="1"/>
  <c r="N3734" i="1" s="1"/>
  <c r="O3734" i="1" s="1"/>
  <c r="M1042" i="1"/>
  <c r="N1042" i="1" s="1"/>
  <c r="L1042" i="1"/>
  <c r="O765" i="1"/>
  <c r="P765" i="1"/>
  <c r="P768" i="1" s="1"/>
  <c r="O1150" i="1"/>
  <c r="P1150" i="1" s="1"/>
  <c r="I3226" i="1"/>
  <c r="M2439" i="1"/>
  <c r="N2439" i="1" s="1"/>
  <c r="L2439" i="1"/>
  <c r="L2996" i="1"/>
  <c r="M2996" i="1"/>
  <c r="N2996" i="1" s="1"/>
  <c r="O2516" i="1"/>
  <c r="P2516" i="1"/>
  <c r="M2860" i="1"/>
  <c r="N2860" i="1" s="1"/>
  <c r="L2860" i="1"/>
  <c r="O3389" i="1"/>
  <c r="P3389" i="1" s="1"/>
  <c r="M3359" i="1"/>
  <c r="N3359" i="1" s="1"/>
  <c r="L3359" i="1"/>
  <c r="I3988" i="1"/>
  <c r="L3988" i="1" s="1"/>
  <c r="I3930" i="1"/>
  <c r="I4131" i="1"/>
  <c r="L4131" i="1" s="1"/>
  <c r="I4094" i="1"/>
  <c r="L4657" i="1"/>
  <c r="M4657" i="1"/>
  <c r="N4657" i="1" s="1"/>
  <c r="I857" i="1"/>
  <c r="M2954" i="1"/>
  <c r="N2954" i="1" s="1"/>
  <c r="L2954" i="1"/>
  <c r="M2693" i="1"/>
  <c r="N2693" i="1" s="1"/>
  <c r="L2693" i="1"/>
  <c r="O3910" i="1"/>
  <c r="P3910" i="1" s="1"/>
  <c r="M4016" i="1"/>
  <c r="L4016" i="1"/>
  <c r="I4709" i="1"/>
  <c r="I4712" i="1"/>
  <c r="L4712" i="1" s="1"/>
  <c r="M4604" i="1"/>
  <c r="N4604" i="1" s="1"/>
  <c r="L4604" i="1"/>
  <c r="I1142" i="1"/>
  <c r="M718" i="1"/>
  <c r="L718" i="1"/>
  <c r="P1806" i="1"/>
  <c r="O1806" i="1"/>
  <c r="O4024" i="1"/>
  <c r="P4024" i="1" s="1"/>
  <c r="M3345" i="1"/>
  <c r="N3345" i="1" s="1"/>
  <c r="L3345" i="1"/>
  <c r="O4128" i="1"/>
  <c r="P4128" i="1" s="1"/>
  <c r="I4660" i="1"/>
  <c r="L4660" i="1" s="1"/>
  <c r="I4629" i="1"/>
  <c r="I4792" i="1"/>
  <c r="L4792" i="1" s="1"/>
  <c r="I4789" i="1"/>
  <c r="M2808" i="1"/>
  <c r="N2808" i="1" s="1"/>
  <c r="L2808" i="1"/>
  <c r="L958" i="1"/>
  <c r="M958" i="1"/>
  <c r="N958" i="1" s="1"/>
  <c r="P3487" i="1"/>
  <c r="O3487" i="1"/>
  <c r="I489" i="1"/>
  <c r="M908" i="1"/>
  <c r="N908" i="1" s="1"/>
  <c r="L908" i="1"/>
  <c r="I2084" i="1"/>
  <c r="O1773" i="1"/>
  <c r="P1773" i="1"/>
  <c r="M2883" i="1"/>
  <c r="L2883" i="1"/>
  <c r="O3380" i="1"/>
  <c r="P3380" i="1" s="1"/>
  <c r="I3699" i="1"/>
  <c r="L3699" i="1" s="1"/>
  <c r="I3684" i="1"/>
  <c r="M4425" i="1"/>
  <c r="N4425" i="1" s="1"/>
  <c r="L4425" i="1"/>
  <c r="I113" i="1"/>
  <c r="I768" i="1"/>
  <c r="L768" i="1" s="1"/>
  <c r="M2362" i="1"/>
  <c r="N2362" i="1" s="1"/>
  <c r="L2362" i="1"/>
  <c r="M3156" i="1"/>
  <c r="N3156" i="1" s="1"/>
  <c r="L3156" i="1"/>
  <c r="M3252" i="1"/>
  <c r="N3252" i="1" s="1"/>
  <c r="L3252" i="1"/>
  <c r="I2721" i="1"/>
  <c r="M3696" i="1"/>
  <c r="N3696" i="1" s="1"/>
  <c r="L3696" i="1"/>
  <c r="I3333" i="1"/>
  <c r="I2285" i="1"/>
  <c r="L2285" i="1" s="1"/>
  <c r="I2260" i="1"/>
  <c r="O2282" i="1"/>
  <c r="P2282" i="1" s="1"/>
  <c r="I3181" i="1"/>
  <c r="M2904" i="1"/>
  <c r="N2904" i="1" s="1"/>
  <c r="L2904" i="1"/>
  <c r="I3573" i="1"/>
  <c r="I3570" i="1"/>
  <c r="L4213" i="1"/>
  <c r="M4213" i="1"/>
  <c r="N4213" i="1" s="1"/>
  <c r="I3540" i="1"/>
  <c r="L3540" i="1" s="1"/>
  <c r="I3443" i="1"/>
  <c r="O4763" i="1"/>
  <c r="P4763" i="1"/>
  <c r="I1916" i="1"/>
  <c r="I2087" i="1"/>
  <c r="L2087" i="1" s="1"/>
  <c r="L1832" i="1"/>
  <c r="M1832" i="1"/>
  <c r="N1832" i="1" s="1"/>
  <c r="P1785" i="1"/>
  <c r="O1785" i="1"/>
  <c r="I2193" i="1"/>
  <c r="L2193" i="1" s="1"/>
  <c r="I2182" i="1"/>
  <c r="O3368" i="1"/>
  <c r="P3368" i="1" s="1"/>
  <c r="M3466" i="1"/>
  <c r="N3466" i="1" s="1"/>
  <c r="L3466" i="1"/>
  <c r="M4578" i="1"/>
  <c r="N4578" i="1" s="1"/>
  <c r="L4578" i="1"/>
  <c r="M2777" i="1"/>
  <c r="N2777" i="1" s="1"/>
  <c r="L2777" i="1"/>
  <c r="M3038" i="1"/>
  <c r="N3038" i="1" s="1"/>
  <c r="L3038" i="1"/>
  <c r="M3281" i="1"/>
  <c r="N3281" i="1" s="1"/>
  <c r="L3281" i="1"/>
  <c r="M4834" i="1"/>
  <c r="N4834" i="1" s="1"/>
  <c r="L4834" i="1"/>
  <c r="I2519" i="1"/>
  <c r="L1981" i="1"/>
  <c r="M1981" i="1"/>
  <c r="N1981" i="1" s="1"/>
  <c r="M2749" i="1"/>
  <c r="N2749" i="1" s="1"/>
  <c r="L2749" i="1"/>
  <c r="L3587" i="1"/>
  <c r="M3587" i="1"/>
  <c r="L3651" i="1"/>
  <c r="M3651" i="1"/>
  <c r="N3651" i="1" s="1"/>
  <c r="I3985" i="1"/>
  <c r="I4505" i="1"/>
  <c r="I3913" i="1"/>
  <c r="L3913" i="1" s="1"/>
  <c r="I4865" i="1"/>
  <c r="L4865" i="1" s="1"/>
  <c r="I4822" i="1"/>
  <c r="M999" i="1"/>
  <c r="N999" i="1" s="1"/>
  <c r="L999" i="1"/>
  <c r="I684" i="1"/>
  <c r="M2930" i="1"/>
  <c r="N2930" i="1" s="1"/>
  <c r="L2930" i="1"/>
  <c r="I2607" i="1"/>
  <c r="I3820" i="1"/>
  <c r="I3525" i="1"/>
  <c r="I4271" i="1"/>
  <c r="L4271" i="1" s="1"/>
  <c r="I4198" i="1"/>
  <c r="P3835" i="1"/>
  <c r="O3835" i="1"/>
  <c r="L1932" i="1"/>
  <c r="M1932" i="1"/>
  <c r="N1932" i="1" s="1"/>
  <c r="P3017" i="1"/>
  <c r="O3017" i="1"/>
  <c r="M2839" i="1"/>
  <c r="N2839" i="1" s="1"/>
  <c r="L2839" i="1"/>
  <c r="P3604" i="1"/>
  <c r="O3604" i="1"/>
  <c r="P4557" i="1"/>
  <c r="O4557" i="1"/>
  <c r="I554" i="1"/>
  <c r="I2157" i="1"/>
  <c r="L2157" i="1" s="1"/>
  <c r="I2154" i="1"/>
  <c r="O1966" i="1"/>
  <c r="P1966" i="1" s="1"/>
  <c r="M3135" i="1"/>
  <c r="N3135" i="1" s="1"/>
  <c r="L3135" i="1"/>
  <c r="M3112" i="1"/>
  <c r="N3112" i="1" s="1"/>
  <c r="L3112" i="1"/>
  <c r="M3499" i="1"/>
  <c r="N3499" i="1" s="1"/>
  <c r="L3499" i="1"/>
  <c r="O3898" i="1"/>
  <c r="P3898" i="1"/>
  <c r="N4683" i="1"/>
  <c r="M3061" i="1"/>
  <c r="N3061" i="1" s="1"/>
  <c r="L3061" i="1"/>
  <c r="M3083" i="1"/>
  <c r="N3083" i="1" s="1"/>
  <c r="L3083" i="1"/>
  <c r="O3398" i="1"/>
  <c r="P3398" i="1" s="1"/>
  <c r="I3654" i="1"/>
  <c r="L3654" i="1" s="1"/>
  <c r="I3630" i="1"/>
  <c r="I4502" i="1"/>
  <c r="M1058" i="1"/>
  <c r="N1058" i="1" s="1"/>
  <c r="L1058" i="1"/>
  <c r="M1797" i="1"/>
  <c r="N1797" i="1" s="1"/>
  <c r="L1797" i="1"/>
  <c r="P1761" i="1"/>
  <c r="O1761" i="1"/>
  <c r="M2564" i="1"/>
  <c r="N2564" i="1" s="1"/>
  <c r="L2564" i="1"/>
  <c r="I4868" i="1"/>
  <c r="I4615" i="1"/>
  <c r="L4615" i="1" s="1"/>
  <c r="I4545" i="1"/>
  <c r="O1797" i="1" l="1"/>
  <c r="P1797" i="1" s="1"/>
  <c r="O999" i="1"/>
  <c r="P999" i="1" s="1"/>
  <c r="N3587" i="1"/>
  <c r="M3607" i="1"/>
  <c r="O4834" i="1"/>
  <c r="P4834" i="1"/>
  <c r="M1916" i="1"/>
  <c r="L1916" i="1"/>
  <c r="M3573" i="1"/>
  <c r="N3573" i="1" s="1"/>
  <c r="O3573" i="1" s="1"/>
  <c r="L3573" i="1"/>
  <c r="M3333" i="1"/>
  <c r="N3333" i="1" s="1"/>
  <c r="L3333" i="1"/>
  <c r="O3083" i="1"/>
  <c r="P3083" i="1" s="1"/>
  <c r="O3499" i="1"/>
  <c r="P3499" i="1" s="1"/>
  <c r="O3135" i="1"/>
  <c r="P3135" i="1" s="1"/>
  <c r="M3525" i="1"/>
  <c r="N3525" i="1" s="1"/>
  <c r="L3525" i="1"/>
  <c r="O2930" i="1"/>
  <c r="P2930" i="1" s="1"/>
  <c r="L4822" i="1"/>
  <c r="M4822" i="1"/>
  <c r="M3985" i="1"/>
  <c r="N3985" i="1" s="1"/>
  <c r="L3985" i="1"/>
  <c r="L2182" i="1"/>
  <c r="M2182" i="1"/>
  <c r="O1832" i="1"/>
  <c r="P1832" i="1" s="1"/>
  <c r="P4213" i="1"/>
  <c r="O4213" i="1"/>
  <c r="O3252" i="1"/>
  <c r="P3252" i="1"/>
  <c r="O2362" i="1"/>
  <c r="P2362" i="1" s="1"/>
  <c r="O4425" i="1"/>
  <c r="P4425" i="1"/>
  <c r="M489" i="1"/>
  <c r="N489" i="1" s="1"/>
  <c r="L489" i="1"/>
  <c r="M768" i="1"/>
  <c r="N718" i="1"/>
  <c r="O2439" i="1"/>
  <c r="P2439" i="1" s="1"/>
  <c r="O4268" i="1"/>
  <c r="P4268" i="1"/>
  <c r="P424" i="1"/>
  <c r="O424" i="1"/>
  <c r="O195" i="1"/>
  <c r="P195" i="1"/>
  <c r="O277" i="1"/>
  <c r="P277" i="1" s="1"/>
  <c r="O884" i="1"/>
  <c r="P884" i="1" s="1"/>
  <c r="O359" i="1"/>
  <c r="P359" i="1" s="1"/>
  <c r="O2650" i="1"/>
  <c r="P2650" i="1"/>
  <c r="P942" i="1"/>
  <c r="O942" i="1"/>
  <c r="L4545" i="1"/>
  <c r="M4545" i="1"/>
  <c r="M3630" i="1"/>
  <c r="L3630" i="1"/>
  <c r="O2839" i="1"/>
  <c r="P2839" i="1" s="1"/>
  <c r="L4868" i="1"/>
  <c r="M4868" i="1"/>
  <c r="N4868" i="1" s="1"/>
  <c r="O4868" i="1" s="1"/>
  <c r="M684" i="1"/>
  <c r="N684" i="1" s="1"/>
  <c r="L684" i="1"/>
  <c r="M2519" i="1"/>
  <c r="N2519" i="1" s="1"/>
  <c r="O2519" i="1" s="1"/>
  <c r="L2519" i="1"/>
  <c r="O3281" i="1"/>
  <c r="P3281" i="1" s="1"/>
  <c r="P2777" i="1"/>
  <c r="O2777" i="1"/>
  <c r="O3466" i="1"/>
  <c r="P3466" i="1"/>
  <c r="P2904" i="1"/>
  <c r="O2904" i="1"/>
  <c r="M2260" i="1"/>
  <c r="L2260" i="1"/>
  <c r="O3696" i="1"/>
  <c r="P3696" i="1" s="1"/>
  <c r="L3684" i="1"/>
  <c r="M3684" i="1"/>
  <c r="M2084" i="1"/>
  <c r="N2084" i="1" s="1"/>
  <c r="L2084" i="1"/>
  <c r="L4629" i="1"/>
  <c r="M4629" i="1"/>
  <c r="L1142" i="1"/>
  <c r="M1142" i="1"/>
  <c r="L4709" i="1"/>
  <c r="M4709" i="1"/>
  <c r="P2954" i="1"/>
  <c r="O2954" i="1"/>
  <c r="L4094" i="1"/>
  <c r="M4094" i="1"/>
  <c r="P2996" i="1"/>
  <c r="O2996" i="1"/>
  <c r="M3226" i="1"/>
  <c r="L3226" i="1"/>
  <c r="O1958" i="1"/>
  <c r="P1958" i="1" s="1"/>
  <c r="O3731" i="1"/>
  <c r="P3731" i="1"/>
  <c r="P4120" i="1"/>
  <c r="O4120" i="1"/>
  <c r="O4348" i="1"/>
  <c r="P4348" i="1" s="1"/>
  <c r="N4742" i="1"/>
  <c r="O619" i="1"/>
  <c r="P619" i="1" s="1"/>
  <c r="L4505" i="1"/>
  <c r="M4505" i="1"/>
  <c r="N4505" i="1" s="1"/>
  <c r="O4505" i="1" s="1"/>
  <c r="O3038" i="1"/>
  <c r="P3038" i="1"/>
  <c r="P1058" i="1"/>
  <c r="O1058" i="1"/>
  <c r="M554" i="1"/>
  <c r="N554" i="1" s="1"/>
  <c r="L554" i="1"/>
  <c r="L3820" i="1"/>
  <c r="M3820" i="1"/>
  <c r="O3651" i="1"/>
  <c r="P3651" i="1" s="1"/>
  <c r="L4502" i="1"/>
  <c r="M4502" i="1"/>
  <c r="N4502" i="1" s="1"/>
  <c r="O3061" i="1"/>
  <c r="P3061" i="1" s="1"/>
  <c r="P3112" i="1"/>
  <c r="O3112" i="1"/>
  <c r="O1932" i="1"/>
  <c r="P1932" i="1"/>
  <c r="M4198" i="1"/>
  <c r="L4198" i="1"/>
  <c r="M2607" i="1"/>
  <c r="N2607" i="1" s="1"/>
  <c r="L2607" i="1"/>
  <c r="O2749" i="1"/>
  <c r="P2749" i="1" s="1"/>
  <c r="M3443" i="1"/>
  <c r="L3443" i="1"/>
  <c r="L3570" i="1"/>
  <c r="M3570" i="1"/>
  <c r="N3570" i="1" s="1"/>
  <c r="M3181" i="1"/>
  <c r="N3181" i="1" s="1"/>
  <c r="L3181" i="1"/>
  <c r="L2721" i="1"/>
  <c r="M2721" i="1"/>
  <c r="N2721" i="1" s="1"/>
  <c r="O3156" i="1"/>
  <c r="P3156" i="1" s="1"/>
  <c r="L113" i="1"/>
  <c r="M113" i="1"/>
  <c r="N113" i="1" s="1"/>
  <c r="N2883" i="1"/>
  <c r="M2933" i="1"/>
  <c r="P2808" i="1"/>
  <c r="O2808" i="1"/>
  <c r="O3345" i="1"/>
  <c r="P3345" i="1" s="1"/>
  <c r="M857" i="1"/>
  <c r="N857" i="1" s="1"/>
  <c r="L857" i="1"/>
  <c r="O3359" i="1"/>
  <c r="P3359" i="1"/>
  <c r="O2860" i="1"/>
  <c r="P2860" i="1" s="1"/>
  <c r="O744" i="1"/>
  <c r="P744" i="1" s="1"/>
  <c r="P4862" i="1"/>
  <c r="O4862" i="1"/>
  <c r="O802" i="1"/>
  <c r="P802" i="1"/>
  <c r="O3890" i="1"/>
  <c r="P3890" i="1" s="1"/>
  <c r="O988" i="1"/>
  <c r="P988" i="1"/>
  <c r="P2564" i="1"/>
  <c r="O2564" i="1"/>
  <c r="O4683" i="1"/>
  <c r="P4683" i="1" s="1"/>
  <c r="M2154" i="1"/>
  <c r="L2154" i="1"/>
  <c r="P1981" i="1"/>
  <c r="O1981" i="1"/>
  <c r="O4578" i="1"/>
  <c r="P4578" i="1"/>
  <c r="P908" i="1"/>
  <c r="O908" i="1"/>
  <c r="O958" i="1"/>
  <c r="P958" i="1" s="1"/>
  <c r="M4789" i="1"/>
  <c r="N4789" i="1" s="1"/>
  <c r="L4789" i="1"/>
  <c r="O4604" i="1"/>
  <c r="P4604" i="1"/>
  <c r="M4027" i="1"/>
  <c r="N4016" i="1"/>
  <c r="O2693" i="1"/>
  <c r="P2693" i="1" s="1"/>
  <c r="P4657" i="1"/>
  <c r="O4657" i="1"/>
  <c r="M3930" i="1"/>
  <c r="L3930" i="1"/>
  <c r="O1042" i="1"/>
  <c r="P1042" i="1" s="1"/>
  <c r="P1015" i="1"/>
  <c r="O1015" i="1"/>
  <c r="O1749" i="1"/>
  <c r="P1749" i="1" s="1"/>
  <c r="P1268" i="1"/>
  <c r="O1268" i="1"/>
  <c r="M4131" i="1" l="1"/>
  <c r="N4094" i="1"/>
  <c r="N4629" i="1"/>
  <c r="M4660" i="1"/>
  <c r="O4789" i="1"/>
  <c r="P4789" i="1" s="1"/>
  <c r="N4709" i="1"/>
  <c r="M4712" i="1"/>
  <c r="N3684" i="1"/>
  <c r="M3699" i="1"/>
  <c r="N4545" i="1"/>
  <c r="M4615" i="1"/>
  <c r="N768" i="1"/>
  <c r="O768" i="1" s="1"/>
  <c r="O718" i="1"/>
  <c r="P718" i="1" s="1"/>
  <c r="O2883" i="1"/>
  <c r="N2933" i="1"/>
  <c r="O2933" i="1" s="1"/>
  <c r="P2883" i="1"/>
  <c r="P2933" i="1" s="1"/>
  <c r="P3181" i="1"/>
  <c r="O3181" i="1"/>
  <c r="M3540" i="1"/>
  <c r="N3443" i="1"/>
  <c r="O2607" i="1"/>
  <c r="P2607" i="1" s="1"/>
  <c r="O554" i="1"/>
  <c r="P554" i="1" s="1"/>
  <c r="N3226" i="1"/>
  <c r="M3255" i="1"/>
  <c r="N2260" i="1"/>
  <c r="M2285" i="1"/>
  <c r="P684" i="1"/>
  <c r="O684" i="1"/>
  <c r="O3985" i="1"/>
  <c r="P3985" i="1" s="1"/>
  <c r="M3988" i="1"/>
  <c r="N3930" i="1"/>
  <c r="N2154" i="1"/>
  <c r="M2157" i="1"/>
  <c r="N2157" i="1" s="1"/>
  <c r="O2157" i="1" s="1"/>
  <c r="P113" i="1"/>
  <c r="O113" i="1"/>
  <c r="O2721" i="1"/>
  <c r="P2721" i="1" s="1"/>
  <c r="P3570" i="1"/>
  <c r="P3573" i="1" s="1"/>
  <c r="O3570" i="1"/>
  <c r="O4502" i="1"/>
  <c r="P4502" i="1" s="1"/>
  <c r="M3913" i="1"/>
  <c r="N3820" i="1"/>
  <c r="M4792" i="1"/>
  <c r="N1142" i="1"/>
  <c r="M1153" i="1"/>
  <c r="N2182" i="1"/>
  <c r="M2193" i="1"/>
  <c r="M4865" i="1"/>
  <c r="N4822" i="1"/>
  <c r="N4027" i="1"/>
  <c r="O4027" i="1" s="1"/>
  <c r="O4016" i="1"/>
  <c r="P4016" i="1" s="1"/>
  <c r="P4027" i="1" s="1"/>
  <c r="P857" i="1"/>
  <c r="O857" i="1"/>
  <c r="N4198" i="1"/>
  <c r="M4271" i="1"/>
  <c r="P4742" i="1"/>
  <c r="N4792" i="1"/>
  <c r="O4792" i="1" s="1"/>
  <c r="O4742" i="1"/>
  <c r="O2084" i="1"/>
  <c r="P2084" i="1" s="1"/>
  <c r="M3654" i="1"/>
  <c r="N3630" i="1"/>
  <c r="O489" i="1"/>
  <c r="P489" i="1"/>
  <c r="O3525" i="1"/>
  <c r="P3525" i="1"/>
  <c r="O3333" i="1"/>
  <c r="P3333" i="1" s="1"/>
  <c r="N1916" i="1"/>
  <c r="M2087" i="1"/>
  <c r="P3587" i="1"/>
  <c r="P3607" i="1" s="1"/>
  <c r="N3607" i="1"/>
  <c r="O3607" i="1" s="1"/>
  <c r="O3587" i="1"/>
  <c r="P4792" i="1" l="1"/>
  <c r="P4822" i="1"/>
  <c r="P4865" i="1" s="1"/>
  <c r="N4865" i="1"/>
  <c r="O4865" i="1" s="1"/>
  <c r="O4822" i="1"/>
  <c r="N3255" i="1"/>
  <c r="O3255" i="1" s="1"/>
  <c r="O3226" i="1"/>
  <c r="P3226" i="1" s="1"/>
  <c r="P3255" i="1" s="1"/>
  <c r="N4615" i="1"/>
  <c r="O4615" i="1" s="1"/>
  <c r="P4545" i="1"/>
  <c r="P4615" i="1" s="1"/>
  <c r="O4545" i="1"/>
  <c r="N1153" i="1"/>
  <c r="O1153" i="1" s="1"/>
  <c r="O1142" i="1"/>
  <c r="P1142" i="1" s="1"/>
  <c r="N3540" i="1"/>
  <c r="O3540" i="1" s="1"/>
  <c r="O3443" i="1"/>
  <c r="P3443" i="1"/>
  <c r="P3540" i="1" s="1"/>
  <c r="P4709" i="1"/>
  <c r="P4712" i="1" s="1"/>
  <c r="O4709" i="1"/>
  <c r="N4712" i="1"/>
  <c r="O4712" i="1" s="1"/>
  <c r="O3630" i="1"/>
  <c r="P3630" i="1"/>
  <c r="P3654" i="1" s="1"/>
  <c r="N3654" i="1"/>
  <c r="O3654" i="1" s="1"/>
  <c r="N4271" i="1"/>
  <c r="O4271" i="1" s="1"/>
  <c r="O4198" i="1"/>
  <c r="P4198" i="1" s="1"/>
  <c r="P4271" i="1" s="1"/>
  <c r="O2154" i="1"/>
  <c r="P2154" i="1" s="1"/>
  <c r="P2157" i="1" s="1"/>
  <c r="N2285" i="1"/>
  <c r="O2285" i="1" s="1"/>
  <c r="O2260" i="1"/>
  <c r="P2260" i="1" s="1"/>
  <c r="P2285" i="1" s="1"/>
  <c r="N3699" i="1"/>
  <c r="O3699" i="1" s="1"/>
  <c r="O3684" i="1"/>
  <c r="P3684" i="1" s="1"/>
  <c r="P3699" i="1" s="1"/>
  <c r="O4629" i="1"/>
  <c r="P4629" i="1" s="1"/>
  <c r="P4660" i="1" s="1"/>
  <c r="N4660" i="1"/>
  <c r="O4660" i="1" s="1"/>
  <c r="N2087" i="1"/>
  <c r="O2087" i="1" s="1"/>
  <c r="O1916" i="1"/>
  <c r="P1916" i="1" s="1"/>
  <c r="P2087" i="1" s="1"/>
  <c r="P2182" i="1"/>
  <c r="P2193" i="1" s="1"/>
  <c r="N2193" i="1"/>
  <c r="O2193" i="1" s="1"/>
  <c r="O2182" i="1"/>
  <c r="N3913" i="1"/>
  <c r="O3913" i="1" s="1"/>
  <c r="O3820" i="1"/>
  <c r="P3820" i="1" s="1"/>
  <c r="P3913" i="1" s="1"/>
  <c r="O3930" i="1"/>
  <c r="N3988" i="1"/>
  <c r="O3988" i="1" s="1"/>
  <c r="P3930" i="1"/>
  <c r="P3988" i="1" s="1"/>
  <c r="N4131" i="1"/>
  <c r="O4131" i="1" s="1"/>
  <c r="O4094" i="1"/>
  <c r="P4094" i="1" s="1"/>
  <c r="P4131" i="1" s="1"/>
  <c r="P3734" i="1" l="1"/>
  <c r="Z3734" i="1"/>
  <c r="P1153" i="1"/>
  <c r="P4875" i="1"/>
  <c r="P4505" i="1"/>
  <c r="Z4505" i="1"/>
  <c r="Z2519" i="1"/>
  <c r="Z4874" i="1" s="1"/>
  <c r="P2519" i="1"/>
  <c r="AA2519" i="1" s="1"/>
  <c r="I4871" i="1" s="1"/>
  <c r="P4868" i="1"/>
  <c r="Z4868" i="1"/>
  <c r="P4874" i="1" l="1"/>
</calcChain>
</file>

<file path=xl/sharedStrings.xml><?xml version="1.0" encoding="utf-8"?>
<sst xmlns="http://schemas.openxmlformats.org/spreadsheetml/2006/main" count="4040" uniqueCount="217">
  <si>
    <t>Форма № 1а (глава 1-5)</t>
  </si>
  <si>
    <t>"СОГЛАСОВАНО"</t>
  </si>
  <si>
    <t>"УТВЕРЖДАЮ"</t>
  </si>
  <si>
    <t>"_____"________________ 2025 г.</t>
  </si>
  <si>
    <t>СМЕТА №</t>
  </si>
  <si>
    <t>(локальный сметный расчет)</t>
  </si>
  <si>
    <t>(наименование работ и затрат, наименование объекта)</t>
  </si>
  <si>
    <t>Сметная стоимость</t>
  </si>
  <si>
    <t>тыс.руб</t>
  </si>
  <si>
    <t>Строительные работы</t>
  </si>
  <si>
    <t>Монтажные работы</t>
  </si>
  <si>
    <t>Оборудование</t>
  </si>
  <si>
    <t>Прочие работы</t>
  </si>
  <si>
    <t>Средства на оплату труда</t>
  </si>
  <si>
    <t>Составлен(а) в уровне текущих (прогнозных) цен на январь 2024 года</t>
  </si>
  <si>
    <t>№№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</si>
  <si>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</si>
  <si>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</si>
  <si>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</si>
  <si>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</si>
  <si>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ед. изм. руб.</t>
  </si>
  <si>
    <t>Попра-вочные коэфф.</t>
  </si>
  <si>
    <t>Коэфф. зимних удоро-жаний</t>
  </si>
  <si>
    <t>Коэфф. пересчета</t>
  </si>
  <si>
    <t>ВСЕГО затрат, руб.</t>
  </si>
  <si>
    <t>Справочно</t>
  </si>
  <si>
    <t>ЗТР, всего чел.-час</t>
  </si>
  <si>
    <t>Ст-ть ед. с начислен.</t>
  </si>
  <si>
    <t>без НДС 20%</t>
  </si>
  <si>
    <t>НДС 5%</t>
  </si>
  <si>
    <t>Итого</t>
  </si>
  <si>
    <t>ЕАИСТ</t>
  </si>
  <si>
    <t>группировка</t>
  </si>
  <si>
    <t>ЭМ</t>
  </si>
  <si>
    <t>ЗП</t>
  </si>
  <si>
    <t>3,1</t>
  </si>
  <si>
    <t>к нр )*1*164</t>
  </si>
  <si>
    <t>в т.ч. ЗПМ</t>
  </si>
  <si>
    <t>НР и СП от ЗПМ</t>
  </si>
  <si>
    <t>%</t>
  </si>
  <si>
    <t>НР от ЗП</t>
  </si>
  <si>
    <t>СП от ЗП</t>
  </si>
  <si>
    <t>ЗТР</t>
  </si>
  <si>
    <t>чел-ч</t>
  </si>
  <si>
    <t>11,1</t>
  </si>
  <si>
    <t>к нр )*4*168</t>
  </si>
  <si>
    <t>12,1</t>
  </si>
  <si>
    <t>МР</t>
  </si>
  <si>
    <t>16,1</t>
  </si>
  <si>
    <t>24,1</t>
  </si>
  <si>
    <t>25,1</t>
  </si>
  <si>
    <t>29,1</t>
  </si>
  <si>
    <t>37,1</t>
  </si>
  <si>
    <t>38,1</t>
  </si>
  <si>
    <r>
      <t>Крошка гранитная</t>
    </r>
    <r>
      <rPr>
        <i/>
        <sz val="10"/>
        <rFont val="Arial"/>
        <family val="2"/>
        <charset val="204"/>
      </rPr>
      <t xml:space="preserve">
3,69 = [4,43 / 1,2]</t>
    </r>
  </si>
  <si>
    <t>42,1</t>
  </si>
  <si>
    <t>50,1</t>
  </si>
  <si>
    <t>51,1</t>
  </si>
  <si>
    <t>60,1</t>
  </si>
  <si>
    <t>69,1</t>
  </si>
  <si>
    <t>78,1</t>
  </si>
  <si>
    <t>87,1</t>
  </si>
  <si>
    <t>96,1</t>
  </si>
  <si>
    <t>102,1</t>
  </si>
  <si>
    <t>106,1</t>
  </si>
  <si>
    <t>112,1</t>
  </si>
  <si>
    <t>120,1</t>
  </si>
  <si>
    <t>124,1</t>
  </si>
  <si>
    <t>к нр *4*168</t>
  </si>
  <si>
    <t>126,1</t>
  </si>
  <si>
    <r>
      <t>Средство моющее незамерзающее для протирки Биомол АД-У</t>
    </r>
    <r>
      <rPr>
        <i/>
        <sz val="10"/>
        <rFont val="Arial"/>
        <family val="2"/>
        <charset val="204"/>
      </rPr>
      <t xml:space="preserve">
197,32 = [236,78 / 1,2]</t>
    </r>
  </si>
  <si>
    <t>к нр *2*164</t>
  </si>
  <si>
    <t>132,1</t>
  </si>
  <si>
    <t>134,1</t>
  </si>
  <si>
    <t>141,1</t>
  </si>
  <si>
    <t>145,1</t>
  </si>
  <si>
    <t>148,1</t>
  </si>
  <si>
    <t>к нр )*3*332</t>
  </si>
  <si>
    <t>151,1</t>
  </si>
  <si>
    <t>к нр *1*164</t>
  </si>
  <si>
    <t>159,1</t>
  </si>
  <si>
    <t>160,1</t>
  </si>
  <si>
    <t>165,1</t>
  </si>
  <si>
    <t>к нр )*1*168</t>
  </si>
  <si>
    <t>169,1</t>
  </si>
  <si>
    <t>177,1</t>
  </si>
  <si>
    <t>178,1</t>
  </si>
  <si>
    <t>252,1</t>
  </si>
  <si>
    <t>к нр )*1*48</t>
  </si>
  <si>
    <t>253,1</t>
  </si>
  <si>
    <t/>
  </si>
  <si>
    <t>257,1</t>
  </si>
  <si>
    <t>265,1</t>
  </si>
  <si>
    <t>266,1</t>
  </si>
  <si>
    <t>268,1</t>
  </si>
  <si>
    <t>к нр )*2*164</t>
  </si>
  <si>
    <t>273,1</t>
  </si>
  <si>
    <t>298,1</t>
  </si>
  <si>
    <t>311,1</t>
  </si>
  <si>
    <t>340,1</t>
  </si>
  <si>
    <t>к нр )*3*398</t>
  </si>
  <si>
    <t>343,1</t>
  </si>
  <si>
    <t>к нр )*1*2</t>
  </si>
  <si>
    <t>344,1</t>
  </si>
  <si>
    <t>к нр )*2*90</t>
  </si>
  <si>
    <t>345,1</t>
  </si>
  <si>
    <t>348,1</t>
  </si>
  <si>
    <t>349,1</t>
  </si>
  <si>
    <t>350,1</t>
  </si>
  <si>
    <t>353,1</t>
  </si>
  <si>
    <t>354,1</t>
  </si>
  <si>
    <t>355,1</t>
  </si>
  <si>
    <t>358,1</t>
  </si>
  <si>
    <t>359,1</t>
  </si>
  <si>
    <t>362,1</t>
  </si>
  <si>
    <t>365,1</t>
  </si>
  <si>
    <t>368,1</t>
  </si>
  <si>
    <t>371,1</t>
  </si>
  <si>
    <t>к нр )*1*90</t>
  </si>
  <si>
    <t>375,1</t>
  </si>
  <si>
    <t>378,1</t>
  </si>
  <si>
    <t>к нр )*1*58</t>
  </si>
  <si>
    <t>379,1</t>
  </si>
  <si>
    <t>к нр )*2*398</t>
  </si>
  <si>
    <t>380,1</t>
  </si>
  <si>
    <t>382,1</t>
  </si>
  <si>
    <t>383,1</t>
  </si>
  <si>
    <t>к нр )*1*4</t>
  </si>
  <si>
    <t>384,1</t>
  </si>
  <si>
    <t>к нр )*1*8</t>
  </si>
  <si>
    <t>386,1</t>
  </si>
  <si>
    <t>387,1</t>
  </si>
  <si>
    <t>к нр )*1*132</t>
  </si>
  <si>
    <t>388,1</t>
  </si>
  <si>
    <t>к нр )*1*12</t>
  </si>
  <si>
    <t>392,1</t>
  </si>
  <si>
    <t>394,1</t>
  </si>
  <si>
    <t>395,1</t>
  </si>
  <si>
    <t>396,1</t>
  </si>
  <si>
    <t>398,1</t>
  </si>
  <si>
    <t>399,1</t>
  </si>
  <si>
    <t>400,1</t>
  </si>
  <si>
    <t>401,1</t>
  </si>
  <si>
    <t>402,1</t>
  </si>
  <si>
    <t>403,1</t>
  </si>
  <si>
    <t>404,1</t>
  </si>
  <si>
    <t>405,1</t>
  </si>
  <si>
    <t>406,1</t>
  </si>
  <si>
    <t>408,1</t>
  </si>
  <si>
    <t>409,1</t>
  </si>
  <si>
    <t>409,2</t>
  </si>
  <si>
    <t>410,1</t>
  </si>
  <si>
    <t>410,2</t>
  </si>
  <si>
    <t>411,1</t>
  </si>
  <si>
    <t>414,1</t>
  </si>
  <si>
    <t>415,1</t>
  </si>
  <si>
    <t>416,1</t>
  </si>
  <si>
    <t>417,1</t>
  </si>
  <si>
    <t>к нр )*1*10</t>
  </si>
  <si>
    <t>418,1</t>
  </si>
  <si>
    <t>419,1</t>
  </si>
  <si>
    <t>420,1</t>
  </si>
  <si>
    <t>к нр )*1*398</t>
  </si>
  <si>
    <t>421,1</t>
  </si>
  <si>
    <t>424,1</t>
  </si>
  <si>
    <t>425,1</t>
  </si>
  <si>
    <t>427,1</t>
  </si>
  <si>
    <t>428,1</t>
  </si>
  <si>
    <t>430,1</t>
  </si>
  <si>
    <t>431,1</t>
  </si>
  <si>
    <t>432,1</t>
  </si>
  <si>
    <t>433,1</t>
  </si>
  <si>
    <t>436,1</t>
  </si>
  <si>
    <t>437,1</t>
  </si>
  <si>
    <t>438,1</t>
  </si>
  <si>
    <t>439,1</t>
  </si>
  <si>
    <t>441,1</t>
  </si>
  <si>
    <t>443,1</t>
  </si>
  <si>
    <t>444,1</t>
  </si>
  <si>
    <t>448,1</t>
  </si>
  <si>
    <t>451,1</t>
  </si>
  <si>
    <t>453,1</t>
  </si>
  <si>
    <t>455,1</t>
  </si>
  <si>
    <t>458,1</t>
  </si>
  <si>
    <t>460,1</t>
  </si>
  <si>
    <t>462,1</t>
  </si>
  <si>
    <t>462,2</t>
  </si>
  <si>
    <t>465,1</t>
  </si>
  <si>
    <t>473,1</t>
  </si>
  <si>
    <t>474,1</t>
  </si>
  <si>
    <t>484,1</t>
  </si>
  <si>
    <t>496,1</t>
  </si>
  <si>
    <t>501,1</t>
  </si>
  <si>
    <t>510,1</t>
  </si>
  <si>
    <t>515,1</t>
  </si>
  <si>
    <t>524,1</t>
  </si>
  <si>
    <t>534,1</t>
  </si>
  <si>
    <t>560,1</t>
  </si>
  <si>
    <t>562,1</t>
  </si>
  <si>
    <t>563,1</t>
  </si>
  <si>
    <t>566,1</t>
  </si>
  <si>
    <t>567,1</t>
  </si>
  <si>
    <t>568,1</t>
  </si>
  <si>
    <t>573,1</t>
  </si>
  <si>
    <t>575,1</t>
  </si>
  <si>
    <t>576,1</t>
  </si>
  <si>
    <t>577,1</t>
  </si>
  <si>
    <t>580,1</t>
  </si>
  <si>
    <t>582,1</t>
  </si>
  <si>
    <t>583,1</t>
  </si>
  <si>
    <t>584,1</t>
  </si>
  <si>
    <t>587,1</t>
  </si>
  <si>
    <t>591,1</t>
  </si>
  <si>
    <t>С учетом тендерного снижения 0,722206847718697</t>
  </si>
  <si>
    <t xml:space="preserve">Составил   </t>
  </si>
  <si>
    <t>[должность,подпись(инициалы,фамилия)]</t>
  </si>
  <si>
    <t xml:space="preserve">Проверил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</si>
</sst>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\ #,##0.00"/>
    <numFmt numFmtId="165" formatCode="mmmm"/>
    <numFmt numFmtId="166" formatCode="0.000000000000000"/>
  </numFmts>
  <fonts count="12" x14ac:knownFonts="1">
    <font>
      <sz val="10"/>
      <name val="Arial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i/>
      <sz val="10"/>
      <name val="Arial"/>
      <family val="2"/>
      <charset val="204"/>
    </font>
    <font>
      <sz val="11"/>
      <color theme="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4" fontId="0" fillId="0" borderId="0" xfId="0" applyNumberFormat="1"/>
    <xf numFmtId="3" fontId="0" fillId="2" borderId="0" xfId="0" applyNumberFormat="1" applyFill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0" fillId="0" borderId="0" xfId="0"/>
    <xf numFmtId="164" fontId="2" fillId="0" borderId="0" xfId="0" applyNumberFormat="1" applyFont="1" applyAlignment="1">
      <alignment horizontal="right"/>
    </xf>
    <xf numFmtId="165" fontId="2" fillId="0" borderId="0" xfId="0" applyNumberFormat="1" applyFont="1"/>
    <xf numFmtId="1" fontId="2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8" fillId="0" borderId="0" xfId="0" applyNumberFormat="1" applyFont="1"/>
    <xf numFmtId="3" fontId="8" fillId="2" borderId="0" xfId="0" applyNumberFormat="1" applyFont="1" applyFill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horizontal="right" wrapText="1"/>
    </xf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 wrapText="1"/>
    </xf>
    <xf numFmtId="0" fontId="0" fillId="0" borderId="5" xfId="0" applyBorder="1"/>
    <xf numFmtId="164" fontId="9" fillId="0" borderId="5" xfId="0" applyNumberFormat="1" applyFont="1" applyBorder="1" applyAlignment="1">
      <alignment horizontal="right"/>
    </xf>
    <xf numFmtId="164" fontId="9" fillId="0" borderId="5" xfId="0" applyNumberFormat="1" applyFont="1" applyBorder="1" applyAlignment="1">
      <alignment horizontal="right"/>
    </xf>
    <xf numFmtId="164" fontId="0" fillId="0" borderId="0" xfId="0" applyNumberFormat="1"/>
    <xf numFmtId="0" fontId="2" fillId="0" borderId="0" xfId="0" quotePrefix="1" applyFont="1" applyAlignment="1">
      <alignment horizontal="right" wrapText="1"/>
    </xf>
    <xf numFmtId="0" fontId="8" fillId="0" borderId="0" xfId="0" applyFont="1" applyAlignment="1">
      <alignment vertical="top" wrapText="1"/>
    </xf>
    <xf numFmtId="164" fontId="7" fillId="0" borderId="0" xfId="0" applyNumberFormat="1" applyFont="1" applyAlignment="1">
      <alignment horizontal="right"/>
    </xf>
    <xf numFmtId="0" fontId="9" fillId="0" borderId="0" xfId="0" applyFont="1" applyAlignment="1">
      <alignment horizontal="left" wrapText="1"/>
    </xf>
    <xf numFmtId="16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164" fontId="9" fillId="0" borderId="0" xfId="0" applyNumberFormat="1" applyFont="1"/>
    <xf numFmtId="0" fontId="9" fillId="0" borderId="0" xfId="0" applyFont="1" applyAlignment="1">
      <alignment horizontal="left" wrapText="1"/>
    </xf>
    <xf numFmtId="0" fontId="9" fillId="0" borderId="0" xfId="0" applyFont="1"/>
    <xf numFmtId="3" fontId="0" fillId="3" borderId="0" xfId="0" applyNumberFormat="1" applyFill="1"/>
    <xf numFmtId="0" fontId="9" fillId="0" borderId="0" xfId="0" applyFont="1" applyFill="1" applyAlignment="1">
      <alignment horizontal="left" wrapText="1"/>
    </xf>
    <xf numFmtId="164" fontId="9" fillId="0" borderId="0" xfId="0" applyNumberFormat="1" applyFont="1" applyFill="1" applyAlignment="1">
      <alignment horizontal="right"/>
    </xf>
    <xf numFmtId="0" fontId="9" fillId="0" borderId="0" xfId="0" applyFont="1" applyFill="1" applyAlignment="1">
      <alignment horizontal="right"/>
    </xf>
    <xf numFmtId="0" fontId="9" fillId="0" borderId="0" xfId="0" applyFont="1" applyFill="1"/>
    <xf numFmtId="4" fontId="0" fillId="0" borderId="0" xfId="0" applyNumberFormat="1" applyFill="1"/>
    <xf numFmtId="0" fontId="2" fillId="0" borderId="0" xfId="0" applyFont="1" applyAlignment="1">
      <alignment horizontal="left" wrapText="1"/>
    </xf>
    <xf numFmtId="166" fontId="11" fillId="0" borderId="0" xfId="0" applyNumberFormat="1" applyFont="1"/>
    <xf numFmtId="0" fontId="2" fillId="0" borderId="0" xfId="0" applyFont="1" applyAlignment="1">
      <alignment horizontal="right" vertical="center"/>
    </xf>
    <xf numFmtId="0" fontId="2" fillId="0" borderId="1" xfId="0" applyFont="1" applyBorder="1"/>
    <xf numFmtId="0" fontId="1" fillId="0" borderId="5" xfId="0" applyFont="1" applyBorder="1" applyAlignment="1">
      <alignment horizontal="center"/>
    </xf>
    <xf numFmtId="0" fontId="2" fillId="4" borderId="0" xfId="0" applyFont="1" applyFill="1" applyAlignment="1">
      <alignment horizontal="left" vertical="top" wrapText="1"/>
    </xf>
    <xf numFmtId="0" fontId="7" fillId="4" borderId="0" xfId="0" applyFont="1" applyFill="1" applyAlignment="1">
      <alignment horizontal="right" wrapText="1"/>
    </xf>
    <xf numFmtId="0" fontId="2" fillId="4" borderId="0" xfId="0" applyFont="1" applyFill="1" applyAlignment="1">
      <alignment horizontal="right"/>
    </xf>
    <xf numFmtId="164" fontId="2" fillId="4" borderId="0" xfId="0" applyNumberFormat="1" applyFont="1" applyFill="1" applyAlignment="1">
      <alignment horizontal="right"/>
    </xf>
    <xf numFmtId="0" fontId="2" fillId="4" borderId="0" xfId="0" applyFont="1" applyFill="1" applyAlignment="1">
      <alignment horizontal="right" wrapText="1"/>
    </xf>
    <xf numFmtId="0" fontId="2" fillId="4" borderId="0" xfId="0" quotePrefix="1" applyFont="1" applyFill="1" applyAlignment="1">
      <alignment horizontal="right" wrapText="1"/>
    </xf>
    <xf numFmtId="0" fontId="0" fillId="4" borderId="5" xfId="0" applyFill="1" applyBorder="1"/>
    <xf numFmtId="164" fontId="9" fillId="4" borderId="5" xfId="0" applyNumberFormat="1" applyFont="1" applyFill="1" applyBorder="1" applyAlignment="1">
      <alignment horizontal="right"/>
    </xf>
    <xf numFmtId="164" fontId="9" fillId="4" borderId="5" xfId="0" applyNumberFormat="1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1055;&#1069;&#1054;\&#1056;&#1072;&#1089;&#1087;&#1088;&#1077;&#1076;&#1077;&#1083;&#1077;&#1085;&#1080;&#1103;\2025\&#1063;&#1080;&#1089;&#1090;&#1086;&#1090;&#1072;\32413969893%20&#1057;&#1077;&#1088;&#1074;&#1080;&#1089;%20&#1043;&#1072;&#1088;&#1072;&#1085;&#1090;%20&#1079;&#1080;&#1084;&#1085;&#1103;&#1103;%20&#1080;%20&#1083;&#1077;&#1090;&#1085;&#1103;&#1103;%20&#1091;&#1073;&#1086;&#1088;&#1082;&#1072;\&#1047;&#1072;&#1082;&#1088;&#1099;&#1074;&#1072;&#1102;&#1097;&#1080;&#1077;%20&#1076;&#1086;&#1082;&#1091;&#1084;&#1077;&#1085;&#1090;&#1099;%2032413969893_&#1057;&#1077;&#1088;&#1074;&#1080;&#1089;_&#1043;&#1072;&#1088;&#1072;&#1085;&#1090;\&#1088;&#1072;&#1073;&#1086;&#1095;&#1080;&#1077;%20&#1076;&#1086;&#1082;&#1091;&#1084;&#1077;&#1085;&#1090;&#1099;\&#1054;&#1082;&#1072;&#1079;&#1072;&#1085;&#1080;&#1077;%20&#1091;&#1089;&#1083;&#1091;&#1075;%20&#1087;&#1086;%20&#1047;%20&#1080;&#1051;%20&#1091;&#1073;&#1086;&#1088;&#1082;&#1077;%20&#1090;&#1077;&#1088;&#1088;&#1080;&#1090;&#1086;&#1088;&#1080;&#1080;%20&#1086;&#1090;%20&#1054;&#1083;&#1100;&#1075;&#1080;%20&#1041;&#1077;&#1082;&#1086;&#1074;&#1086;&#108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АИСТ"/>
      <sheetName val="Смета СН-2012 по гл. 1-5"/>
      <sheetName val="Source"/>
      <sheetName val="SourceObSm"/>
      <sheetName val="SmtRes"/>
      <sheetName val="EtalonRes"/>
      <sheetName val="SrcPoprs"/>
      <sheetName val="SrcKA"/>
    </sheetNames>
    <sheetDataSet>
      <sheetData sheetId="0"/>
      <sheetData sheetId="1"/>
      <sheetData sheetId="2">
        <row r="1">
          <cell r="B1" t="str">
            <v>Smeta.RU Flash  (495) 974-1589</v>
          </cell>
        </row>
        <row r="12">
          <cell r="G12" t="str">
            <v>Оказание услуг по зимней и летней уборке территории( объединен. с доп. согл.) ( 25.03.2025г.)</v>
          </cell>
          <cell r="J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H12" t="str">
            <v/>
          </cell>
          <cell r="AL12" t="str">
            <v/>
          </cell>
        </row>
        <row r="20">
          <cell r="G20" t="str">
            <v>Зимняя уборка территории</v>
          </cell>
        </row>
        <row r="24">
          <cell r="G24" t="str">
            <v>Содержание садово-парковых дорожек с мощением, рассчитанным на нагрузку 16т/ось ( S=7142,0 м2 ).</v>
          </cell>
        </row>
        <row r="28">
          <cell r="F28" t="str">
            <v>калькуляция</v>
          </cell>
          <cell r="G28" t="str">
            <v>Подметание дорожек  механизированным способом ( S=7142 м2 *0,7=4999,4 м2)</v>
          </cell>
          <cell r="H28" t="str">
            <v>м2</v>
          </cell>
          <cell r="I28">
            <v>4999.3999999999996</v>
          </cell>
          <cell r="Q28">
            <v>2131744.16</v>
          </cell>
          <cell r="X28">
            <v>0</v>
          </cell>
          <cell r="Y28">
            <v>0</v>
          </cell>
          <cell r="AE28">
            <v>0</v>
          </cell>
          <cell r="AF28">
            <v>0</v>
          </cell>
          <cell r="AM28">
            <v>0.65</v>
          </cell>
          <cell r="AV28">
            <v>1</v>
          </cell>
          <cell r="BB28">
            <v>1</v>
          </cell>
          <cell r="BZ28">
            <v>0</v>
          </cell>
          <cell r="CA28">
            <v>0</v>
          </cell>
          <cell r="CS28">
            <v>0</v>
          </cell>
          <cell r="DE28" t="str">
            <v>*4*164</v>
          </cell>
        </row>
        <row r="29">
          <cell r="F29" t="str">
            <v>калькуляция</v>
          </cell>
          <cell r="G29" t="str">
            <v>Подметание дорожек  вручную ( S=7142 м2*0,3=2142,6 м2)</v>
          </cell>
          <cell r="H29" t="str">
            <v>м2</v>
          </cell>
          <cell r="I29">
            <v>2142.6</v>
          </cell>
          <cell r="S29">
            <v>1855320.19</v>
          </cell>
          <cell r="X29">
            <v>0</v>
          </cell>
          <cell r="Y29">
            <v>0</v>
          </cell>
          <cell r="AE29">
            <v>0</v>
          </cell>
          <cell r="AF29">
            <v>865.92</v>
          </cell>
          <cell r="AO29">
            <v>1.32</v>
          </cell>
          <cell r="AV29">
            <v>1</v>
          </cell>
          <cell r="BA29">
            <v>1</v>
          </cell>
          <cell r="BZ29">
            <v>0</v>
          </cell>
          <cell r="CA29">
            <v>0</v>
          </cell>
          <cell r="CS29">
            <v>0</v>
          </cell>
          <cell r="DG29" t="str">
            <v>*4*164</v>
          </cell>
        </row>
        <row r="30">
          <cell r="F30" t="str">
            <v>калькуляция</v>
          </cell>
          <cell r="G30" t="str">
            <v>Мытье дорожек  механизированным способом( 30% от7142 м2)</v>
          </cell>
          <cell r="H30" t="str">
            <v>м2</v>
          </cell>
          <cell r="I30">
            <v>2142.6</v>
          </cell>
          <cell r="Q30">
            <v>1152547.3899999999</v>
          </cell>
          <cell r="X30">
            <v>0</v>
          </cell>
          <cell r="Y30">
            <v>0</v>
          </cell>
          <cell r="AE30">
            <v>0</v>
          </cell>
          <cell r="AF30">
            <v>0</v>
          </cell>
          <cell r="AM30">
            <v>3.28</v>
          </cell>
          <cell r="AV30">
            <v>1</v>
          </cell>
          <cell r="BB30">
            <v>1</v>
          </cell>
          <cell r="BZ30">
            <v>0</v>
          </cell>
          <cell r="CA30">
            <v>0</v>
          </cell>
          <cell r="CS30">
            <v>0</v>
          </cell>
          <cell r="DE30" t="str">
            <v>)*1*164</v>
          </cell>
        </row>
        <row r="31">
          <cell r="F31" t="str">
            <v>цена поставщика</v>
          </cell>
          <cell r="G31" t="str">
            <v>Средство для механизированной мойки дорожных покрытий в зимнее время -ПГМ Жидкий хлористый кальций</v>
          </cell>
          <cell r="H31" t="str">
            <v>л</v>
          </cell>
          <cell r="I31">
            <v>105.41592</v>
          </cell>
          <cell r="O31">
            <v>1240.75</v>
          </cell>
          <cell r="X31">
            <v>0</v>
          </cell>
          <cell r="Y31">
            <v>0</v>
          </cell>
          <cell r="AE31">
            <v>0</v>
          </cell>
          <cell r="AF31">
            <v>0</v>
          </cell>
          <cell r="AK31">
            <v>11.77</v>
          </cell>
          <cell r="AV31">
            <v>1</v>
          </cell>
          <cell r="AW31">
            <v>1</v>
          </cell>
          <cell r="BC31">
            <v>1</v>
          </cell>
          <cell r="BZ31">
            <v>0</v>
          </cell>
          <cell r="CA31">
            <v>0</v>
          </cell>
          <cell r="CS31">
            <v>0</v>
          </cell>
        </row>
        <row r="32">
          <cell r="F32" t="str">
            <v>5.3-1102-12-1/1</v>
          </cell>
          <cell r="G32" t="str">
            <v>Уборка снега средствами малой механизации( 70% от 7142 м2 , S=7142 м2*0,7=4999,4 м2 )</v>
          </cell>
          <cell r="H32" t="str">
            <v>1000 м2</v>
          </cell>
          <cell r="I32">
            <v>4.9993999999999996</v>
          </cell>
          <cell r="Q32">
            <v>2379400.84</v>
          </cell>
          <cell r="R32">
            <v>792797.65</v>
          </cell>
          <cell r="X32">
            <v>0</v>
          </cell>
          <cell r="Y32">
            <v>0</v>
          </cell>
          <cell r="AE32">
            <v>158578.56</v>
          </cell>
          <cell r="AF32">
            <v>0</v>
          </cell>
          <cell r="AM32">
            <v>708.24</v>
          </cell>
          <cell r="AN32">
            <v>235.98</v>
          </cell>
          <cell r="AV32">
            <v>1</v>
          </cell>
          <cell r="BB32">
            <v>1</v>
          </cell>
          <cell r="BS32">
            <v>1</v>
          </cell>
          <cell r="BZ32">
            <v>70</v>
          </cell>
          <cell r="CA32">
            <v>10</v>
          </cell>
          <cell r="CS32">
            <v>158578.56</v>
          </cell>
          <cell r="DE32" t="str">
            <v>)*4*168</v>
          </cell>
          <cell r="DF32" t="str">
            <v>)*4*168</v>
          </cell>
        </row>
        <row r="33">
          <cell r="F33" t="str">
            <v>5.3-1102-8-1/1</v>
          </cell>
          <cell r="G33" t="str">
            <v>Уборка свежевыпавшего снега вручную толщиной слоя до 10 см ( S= 7142 м2* 0,1*0,7*0,5 =249,97 м2)</v>
          </cell>
          <cell r="H33" t="str">
            <v>100 м2</v>
          </cell>
          <cell r="I33">
            <v>2.4996999999999998</v>
          </cell>
          <cell r="S33">
            <v>270699.51</v>
          </cell>
          <cell r="U33">
            <v>1091.86896</v>
          </cell>
          <cell r="X33">
            <v>189489.66</v>
          </cell>
          <cell r="Y33">
            <v>27069.95</v>
          </cell>
          <cell r="AE33">
            <v>0</v>
          </cell>
          <cell r="AF33">
            <v>108292.8</v>
          </cell>
          <cell r="AO33">
            <v>161.15</v>
          </cell>
          <cell r="AQ33">
            <v>0.65</v>
          </cell>
          <cell r="AT33">
            <v>70</v>
          </cell>
          <cell r="AU33">
            <v>10</v>
          </cell>
          <cell r="AV33">
            <v>1</v>
          </cell>
          <cell r="BA33">
            <v>1</v>
          </cell>
          <cell r="BZ33">
            <v>70</v>
          </cell>
          <cell r="CA33">
            <v>10</v>
          </cell>
          <cell r="CS33">
            <v>0</v>
          </cell>
          <cell r="DG33" t="str">
            <v>)*4*168</v>
          </cell>
          <cell r="DI33" t="str">
            <v>)*4*168</v>
          </cell>
        </row>
        <row r="34">
          <cell r="F34" t="str">
            <v>5.3-1102-8-3/1</v>
          </cell>
          <cell r="G34" t="str">
            <v>Уборка слежавшегося снега вручную( S=7142 м2*0,1*0,7*0,5=249,97 м2)</v>
          </cell>
          <cell r="H34" t="str">
            <v>100 м2</v>
          </cell>
          <cell r="I34">
            <v>2.4996999999999998</v>
          </cell>
          <cell r="S34">
            <v>159299.48000000001</v>
          </cell>
          <cell r="U34">
            <v>642.52288799999997</v>
          </cell>
          <cell r="X34">
            <v>111509.64</v>
          </cell>
          <cell r="Y34">
            <v>15929.95</v>
          </cell>
          <cell r="AE34">
            <v>0</v>
          </cell>
          <cell r="AF34">
            <v>63727.44</v>
          </cell>
          <cell r="AO34">
            <v>379.33</v>
          </cell>
          <cell r="AQ34">
            <v>1.53</v>
          </cell>
          <cell r="AT34">
            <v>70</v>
          </cell>
          <cell r="AU34">
            <v>10</v>
          </cell>
          <cell r="AV34">
            <v>1</v>
          </cell>
          <cell r="BA34">
            <v>1</v>
          </cell>
          <cell r="BZ34">
            <v>70</v>
          </cell>
          <cell r="CA34">
            <v>10</v>
          </cell>
          <cell r="CS34">
            <v>0</v>
          </cell>
          <cell r="DG34" t="str">
            <v>)*1*168</v>
          </cell>
          <cell r="DI34" t="str">
            <v>)*1*168</v>
          </cell>
        </row>
        <row r="35">
          <cell r="F35" t="str">
            <v>5.3-1102-8-1/1</v>
          </cell>
          <cell r="G35" t="str">
            <v>Уборка свежевыпавшего снега вручную толщиной слоя до 10 см ( S= 7142 м2* 0,1*0,3*0?5 =107,13 м2)</v>
          </cell>
          <cell r="H35" t="str">
            <v>100 м2</v>
          </cell>
          <cell r="I35">
            <v>1.0712999999999999</v>
          </cell>
          <cell r="S35">
            <v>116014.08</v>
          </cell>
          <cell r="U35">
            <v>467.94383999999997</v>
          </cell>
          <cell r="X35">
            <v>81209.86</v>
          </cell>
          <cell r="Y35">
            <v>11601.41</v>
          </cell>
          <cell r="AE35">
            <v>0</v>
          </cell>
          <cell r="AF35">
            <v>108292.8</v>
          </cell>
          <cell r="AO35">
            <v>161.15</v>
          </cell>
          <cell r="AQ35">
            <v>0.65</v>
          </cell>
          <cell r="AT35">
            <v>70</v>
          </cell>
          <cell r="AU35">
            <v>10</v>
          </cell>
          <cell r="AV35">
            <v>1</v>
          </cell>
          <cell r="BA35">
            <v>1</v>
          </cell>
          <cell r="BZ35">
            <v>70</v>
          </cell>
          <cell r="CA35">
            <v>10</v>
          </cell>
          <cell r="CS35">
            <v>0</v>
          </cell>
          <cell r="DG35" t="str">
            <v>)*4*168</v>
          </cell>
          <cell r="DI35" t="str">
            <v>)*4*168</v>
          </cell>
        </row>
        <row r="36">
          <cell r="F36" t="str">
            <v>5.3-1102-8-2/1</v>
          </cell>
          <cell r="G36" t="str">
            <v>Уборка свежевыпавшего снега вручную, добавлять на каждые следующие 10 см увеличения толщины слоя</v>
          </cell>
          <cell r="H36" t="str">
            <v>100 м2</v>
          </cell>
          <cell r="I36">
            <v>1.0712999999999999</v>
          </cell>
          <cell r="S36">
            <v>83891.53</v>
          </cell>
          <cell r="U36">
            <v>338.35939199999996</v>
          </cell>
          <cell r="X36">
            <v>58724.07</v>
          </cell>
          <cell r="Y36">
            <v>8389.15</v>
          </cell>
          <cell r="AE36">
            <v>0</v>
          </cell>
          <cell r="AF36">
            <v>78308.160000000003</v>
          </cell>
          <cell r="AO36">
            <v>116.53</v>
          </cell>
          <cell r="AQ36">
            <v>0.47</v>
          </cell>
          <cell r="AT36">
            <v>70</v>
          </cell>
          <cell r="AU36">
            <v>10</v>
          </cell>
          <cell r="AV36">
            <v>1</v>
          </cell>
          <cell r="BA36">
            <v>1</v>
          </cell>
          <cell r="BZ36">
            <v>70</v>
          </cell>
          <cell r="CA36">
            <v>10</v>
          </cell>
          <cell r="CS36">
            <v>0</v>
          </cell>
          <cell r="DG36" t="str">
            <v>)*4*168</v>
          </cell>
          <cell r="DI36" t="str">
            <v>)*4*168</v>
          </cell>
        </row>
        <row r="37">
          <cell r="F37" t="str">
            <v>5.3-1102-24-1/1</v>
          </cell>
          <cell r="G37" t="str">
            <v>Уборка свежевыпавшего снега ручной самоходной машиной - ширина захвата 120 см( 20% от 7142 м2, V= 7142 м2 *0,2= 1428,4 м2 )</v>
          </cell>
          <cell r="H37" t="str">
            <v>100 м2</v>
          </cell>
          <cell r="I37">
            <v>14.284000000000001</v>
          </cell>
          <cell r="Q37">
            <v>326072.87</v>
          </cell>
          <cell r="R37">
            <v>863.9</v>
          </cell>
          <cell r="S37">
            <v>931664.19</v>
          </cell>
          <cell r="U37">
            <v>3359.5967999999998</v>
          </cell>
          <cell r="X37">
            <v>652164.93000000005</v>
          </cell>
          <cell r="Y37">
            <v>93166.42</v>
          </cell>
          <cell r="AE37">
            <v>60.48</v>
          </cell>
          <cell r="AF37">
            <v>65224.32</v>
          </cell>
          <cell r="AM37">
            <v>33.97</v>
          </cell>
          <cell r="AN37">
            <v>0.09</v>
          </cell>
          <cell r="AO37">
            <v>97.06</v>
          </cell>
          <cell r="AQ37">
            <v>0.35</v>
          </cell>
          <cell r="AT37">
            <v>70</v>
          </cell>
          <cell r="AU37">
            <v>10</v>
          </cell>
          <cell r="AV37">
            <v>1</v>
          </cell>
          <cell r="BA37">
            <v>1</v>
          </cell>
          <cell r="BB37">
            <v>1</v>
          </cell>
          <cell r="BS37">
            <v>1</v>
          </cell>
          <cell r="BZ37">
            <v>70</v>
          </cell>
          <cell r="CA37">
            <v>10</v>
          </cell>
          <cell r="CS37">
            <v>60.48</v>
          </cell>
          <cell r="DE37" t="str">
            <v>)*4*168</v>
          </cell>
          <cell r="DF37" t="str">
            <v>)*4*168</v>
          </cell>
          <cell r="DG37" t="str">
            <v>)*4*168</v>
          </cell>
          <cell r="DI37" t="str">
            <v>)*4*168</v>
          </cell>
        </row>
        <row r="38">
          <cell r="F38" t="str">
            <v>5.3-1102-9-1/1</v>
          </cell>
          <cell r="G38" t="str">
            <v>Колка льда на обледеневших покрытиях вручную( S=7142 м2*0,1*0,3*0,5=107,13 м2)</v>
          </cell>
          <cell r="H38" t="str">
            <v>100 м2</v>
          </cell>
          <cell r="I38">
            <v>1.0712999999999999</v>
          </cell>
          <cell r="S38">
            <v>215077.79</v>
          </cell>
          <cell r="U38">
            <v>867.49588799999992</v>
          </cell>
          <cell r="X38">
            <v>150554.45000000001</v>
          </cell>
          <cell r="Y38">
            <v>21507.78</v>
          </cell>
          <cell r="AE38">
            <v>0</v>
          </cell>
          <cell r="AF38">
            <v>200763.36</v>
          </cell>
          <cell r="AO38">
            <v>597.51</v>
          </cell>
          <cell r="AQ38">
            <v>2.41</v>
          </cell>
          <cell r="AT38">
            <v>70</v>
          </cell>
          <cell r="AU38">
            <v>10</v>
          </cell>
          <cell r="AV38">
            <v>1</v>
          </cell>
          <cell r="BA38">
            <v>1</v>
          </cell>
          <cell r="BZ38">
            <v>70</v>
          </cell>
          <cell r="CA38">
            <v>10</v>
          </cell>
          <cell r="CS38">
            <v>0</v>
          </cell>
          <cell r="DG38" t="str">
            <v>)*2*168</v>
          </cell>
          <cell r="DI38" t="str">
            <v>)*2*168</v>
          </cell>
        </row>
        <row r="39">
          <cell r="F39" t="str">
            <v>калькуляция</v>
          </cell>
          <cell r="G39" t="str">
            <v>Посыпка  гранитной крошкой дорожных покрытий средствами малой механизации( расход крошки 100 г/м2)</v>
          </cell>
          <cell r="H39" t="str">
            <v>м2</v>
          </cell>
          <cell r="I39">
            <v>4999.3999999999996</v>
          </cell>
          <cell r="Q39">
            <v>1108666.94</v>
          </cell>
          <cell r="X39">
            <v>0</v>
          </cell>
          <cell r="Y39">
            <v>0</v>
          </cell>
          <cell r="AE39">
            <v>0</v>
          </cell>
          <cell r="AF39">
            <v>0</v>
          </cell>
          <cell r="AM39">
            <v>0.33</v>
          </cell>
          <cell r="AV39">
            <v>1</v>
          </cell>
          <cell r="BB39">
            <v>1</v>
          </cell>
          <cell r="BZ39">
            <v>0</v>
          </cell>
          <cell r="CA39">
            <v>0</v>
          </cell>
          <cell r="CS39">
            <v>0</v>
          </cell>
          <cell r="DE39" t="str">
            <v>)*4*168</v>
          </cell>
        </row>
        <row r="40">
          <cell r="F40" t="str">
            <v>цена поставщика</v>
          </cell>
          <cell r="G40" t="str">
            <v>Крошка гранитная</v>
          </cell>
          <cell r="H40" t="str">
            <v>кг</v>
          </cell>
          <cell r="I40">
            <v>335959.68</v>
          </cell>
          <cell r="O40">
            <v>1488301.38</v>
          </cell>
          <cell r="X40">
            <v>0</v>
          </cell>
          <cell r="Y40">
            <v>0</v>
          </cell>
          <cell r="AE40">
            <v>0</v>
          </cell>
          <cell r="AF40">
            <v>0</v>
          </cell>
          <cell r="AK40">
            <v>4.43</v>
          </cell>
          <cell r="AV40">
            <v>1</v>
          </cell>
          <cell r="AW40">
            <v>1</v>
          </cell>
          <cell r="BC40">
            <v>1</v>
          </cell>
          <cell r="BZ40">
            <v>0</v>
          </cell>
          <cell r="CA40">
            <v>0</v>
          </cell>
          <cell r="CS40">
            <v>0</v>
          </cell>
        </row>
        <row r="41">
          <cell r="F41" t="str">
            <v>калькуляция</v>
          </cell>
          <cell r="G41" t="str">
            <v>Посыпка гранитной крошкой дорожных покрытий вручную( 100г/м2 )</v>
          </cell>
          <cell r="H41" t="str">
            <v>м2</v>
          </cell>
          <cell r="I41">
            <v>2142.6</v>
          </cell>
          <cell r="S41">
            <v>2994840.58</v>
          </cell>
          <cell r="X41">
            <v>0</v>
          </cell>
          <cell r="Y41">
            <v>0</v>
          </cell>
          <cell r="AE41">
            <v>0</v>
          </cell>
          <cell r="AF41">
            <v>1397.76</v>
          </cell>
          <cell r="AO41">
            <v>2.08</v>
          </cell>
          <cell r="AV41">
            <v>1</v>
          </cell>
          <cell r="BA41">
            <v>1</v>
          </cell>
          <cell r="BZ41">
            <v>0</v>
          </cell>
          <cell r="CA41">
            <v>0</v>
          </cell>
          <cell r="CS41">
            <v>0</v>
          </cell>
          <cell r="DG41" t="str">
            <v>)*4*168</v>
          </cell>
        </row>
        <row r="42">
          <cell r="F42" t="str">
            <v>цена поставщика</v>
          </cell>
          <cell r="G42" t="str">
            <v>Крошка гранитная</v>
          </cell>
          <cell r="H42" t="str">
            <v>кг</v>
          </cell>
          <cell r="I42">
            <v>143982.72</v>
          </cell>
          <cell r="O42">
            <v>637843.44999999995</v>
          </cell>
          <cell r="X42">
            <v>0</v>
          </cell>
          <cell r="Y42">
            <v>0</v>
          </cell>
          <cell r="AE42">
            <v>0</v>
          </cell>
          <cell r="AF42">
            <v>0</v>
          </cell>
          <cell r="AK42">
            <v>4.43</v>
          </cell>
          <cell r="AV42">
            <v>1</v>
          </cell>
          <cell r="AW42">
            <v>1</v>
          </cell>
          <cell r="BC42">
            <v>1</v>
          </cell>
          <cell r="BZ42">
            <v>0</v>
          </cell>
          <cell r="CA42">
            <v>0</v>
          </cell>
          <cell r="CS42">
            <v>0</v>
          </cell>
        </row>
        <row r="43">
          <cell r="F43" t="str">
            <v>5.4-1201-1-1/1</v>
          </cell>
          <cell r="G43" t="str">
            <v>Сбор случайного мусора по территории</v>
          </cell>
          <cell r="H43" t="str">
            <v>100 м2</v>
          </cell>
          <cell r="I43">
            <v>71.42</v>
          </cell>
          <cell r="P43">
            <v>65443.57</v>
          </cell>
          <cell r="S43">
            <v>1176087.42</v>
          </cell>
          <cell r="U43">
            <v>4742.2880000000005</v>
          </cell>
          <cell r="X43">
            <v>823261.19</v>
          </cell>
          <cell r="Y43">
            <v>117608.74</v>
          </cell>
          <cell r="AE43">
            <v>0</v>
          </cell>
          <cell r="AF43">
            <v>16467.2</v>
          </cell>
          <cell r="AL43">
            <v>0.69</v>
          </cell>
          <cell r="AO43">
            <v>12.4</v>
          </cell>
          <cell r="AQ43">
            <v>0.05</v>
          </cell>
          <cell r="AT43">
            <v>70</v>
          </cell>
          <cell r="AU43">
            <v>10</v>
          </cell>
          <cell r="AV43">
            <v>1</v>
          </cell>
          <cell r="AW43">
            <v>1</v>
          </cell>
          <cell r="BA43">
            <v>1</v>
          </cell>
          <cell r="BC43">
            <v>1</v>
          </cell>
          <cell r="BZ43">
            <v>70</v>
          </cell>
          <cell r="CA43">
            <v>10</v>
          </cell>
          <cell r="CS43">
            <v>0</v>
          </cell>
          <cell r="DD43" t="str">
            <v>)*4*332</v>
          </cell>
          <cell r="DG43" t="str">
            <v>)*4*332</v>
          </cell>
          <cell r="DI43" t="str">
            <v>)*4*332</v>
          </cell>
        </row>
        <row r="45">
          <cell r="G45" t="str">
            <v>Содержание садово-парковых дорожек с мощением, рассчитанным на нагрузку 16т/ось ( S=7142,0 м2 ).</v>
          </cell>
        </row>
        <row r="75">
          <cell r="G75" t="str">
            <v>Содержание  дорожек с мощением, рассчитанным на нагрузку 16т/ось ( S= 3712 м2 ) ( МКЗ )</v>
          </cell>
        </row>
        <row r="79">
          <cell r="F79" t="str">
            <v>калькуляция</v>
          </cell>
          <cell r="G79" t="str">
            <v>Подметание дорожек  механизированным способом ( S=3712 м2 *0,7=2598,4 м2)</v>
          </cell>
          <cell r="H79" t="str">
            <v>м2</v>
          </cell>
          <cell r="I79">
            <v>2598.4</v>
          </cell>
          <cell r="Q79">
            <v>1107957.76</v>
          </cell>
          <cell r="X79">
            <v>0</v>
          </cell>
          <cell r="Y79">
            <v>0</v>
          </cell>
          <cell r="AE79">
            <v>0</v>
          </cell>
          <cell r="AF79">
            <v>0</v>
          </cell>
          <cell r="AM79">
            <v>0.65</v>
          </cell>
          <cell r="AV79">
            <v>1</v>
          </cell>
          <cell r="BB79">
            <v>1</v>
          </cell>
          <cell r="BZ79">
            <v>0</v>
          </cell>
          <cell r="CA79">
            <v>0</v>
          </cell>
          <cell r="CS79">
            <v>0</v>
          </cell>
          <cell r="DE79" t="str">
            <v>)*4*164</v>
          </cell>
        </row>
        <row r="80">
          <cell r="F80" t="str">
            <v>калькуляция</v>
          </cell>
          <cell r="G80" t="str">
            <v>Подметание дорожек  вручную ( S=3712 м2*0,3=1113,6 м2)</v>
          </cell>
          <cell r="H80" t="str">
            <v>м2</v>
          </cell>
          <cell r="I80">
            <v>1113.5999999999999</v>
          </cell>
          <cell r="S80">
            <v>964288.51</v>
          </cell>
          <cell r="X80">
            <v>0</v>
          </cell>
          <cell r="Y80">
            <v>0</v>
          </cell>
          <cell r="AE80">
            <v>0</v>
          </cell>
          <cell r="AF80">
            <v>865.92</v>
          </cell>
          <cell r="AO80">
            <v>1.32</v>
          </cell>
          <cell r="AV80">
            <v>1</v>
          </cell>
          <cell r="BA80">
            <v>1</v>
          </cell>
          <cell r="BZ80">
            <v>0</v>
          </cell>
          <cell r="CA80">
            <v>0</v>
          </cell>
          <cell r="CS80">
            <v>0</v>
          </cell>
          <cell r="DG80" t="str">
            <v>)*4*164</v>
          </cell>
        </row>
        <row r="81">
          <cell r="F81" t="str">
            <v>калькуляция</v>
          </cell>
          <cell r="G81" t="str">
            <v>Мытье дорожек  механизированным способом( 30% от3712 м2)</v>
          </cell>
          <cell r="H81" t="str">
            <v>м2</v>
          </cell>
          <cell r="I81">
            <v>1113.5999999999999</v>
          </cell>
          <cell r="Q81">
            <v>599027.71</v>
          </cell>
          <cell r="X81">
            <v>0</v>
          </cell>
          <cell r="Y81">
            <v>0</v>
          </cell>
          <cell r="AE81">
            <v>0</v>
          </cell>
          <cell r="AF81">
            <v>0</v>
          </cell>
          <cell r="AM81">
            <v>3.28</v>
          </cell>
          <cell r="AV81">
            <v>1</v>
          </cell>
          <cell r="BB81">
            <v>1</v>
          </cell>
          <cell r="BZ81">
            <v>0</v>
          </cell>
          <cell r="CA81">
            <v>0</v>
          </cell>
          <cell r="CS81">
            <v>0</v>
          </cell>
          <cell r="DE81" t="str">
            <v>)*1*164</v>
          </cell>
        </row>
        <row r="82">
          <cell r="F82" t="str">
            <v>цена поставщика</v>
          </cell>
          <cell r="G82" t="str">
            <v>Средство для механизированной мойки дорожных покрытий в зимнее время -ПГМ Жидкий хлористый кальций</v>
          </cell>
          <cell r="H82" t="str">
            <v>л</v>
          </cell>
          <cell r="I82">
            <v>54.789119999999997</v>
          </cell>
          <cell r="O82">
            <v>644.87</v>
          </cell>
          <cell r="X82">
            <v>0</v>
          </cell>
          <cell r="Y82">
            <v>0</v>
          </cell>
          <cell r="AE82">
            <v>0</v>
          </cell>
          <cell r="AF82">
            <v>0</v>
          </cell>
          <cell r="AK82">
            <v>11.77</v>
          </cell>
          <cell r="AV82">
            <v>1</v>
          </cell>
          <cell r="AW82">
            <v>1</v>
          </cell>
          <cell r="BC82">
            <v>1</v>
          </cell>
          <cell r="BZ82">
            <v>0</v>
          </cell>
          <cell r="CA82">
            <v>0</v>
          </cell>
          <cell r="CS82">
            <v>0</v>
          </cell>
        </row>
        <row r="83">
          <cell r="F83" t="str">
            <v>5.3-1102-12-1/1</v>
          </cell>
          <cell r="G83" t="str">
            <v>Уборка снега средствами малой механизации( 70% от 3712 м2 , S=3712 м2*0,7=2598,4 м2 )</v>
          </cell>
          <cell r="H83" t="str">
            <v>1000 м2</v>
          </cell>
          <cell r="I83">
            <v>2.5983999999999998</v>
          </cell>
          <cell r="Q83">
            <v>1236675.43</v>
          </cell>
          <cell r="R83">
            <v>412050.53</v>
          </cell>
          <cell r="X83">
            <v>0</v>
          </cell>
          <cell r="Y83">
            <v>0</v>
          </cell>
          <cell r="AE83">
            <v>158578.56</v>
          </cell>
          <cell r="AF83">
            <v>0</v>
          </cell>
          <cell r="AM83">
            <v>708.24</v>
          </cell>
          <cell r="AN83">
            <v>235.98</v>
          </cell>
          <cell r="AV83">
            <v>1</v>
          </cell>
          <cell r="BB83">
            <v>1</v>
          </cell>
          <cell r="BS83">
            <v>1</v>
          </cell>
          <cell r="BZ83">
            <v>70</v>
          </cell>
          <cell r="CA83">
            <v>10</v>
          </cell>
          <cell r="CS83">
            <v>158578.56</v>
          </cell>
          <cell r="DE83" t="str">
            <v>)*4*168</v>
          </cell>
          <cell r="DF83" t="str">
            <v>)*4*168</v>
          </cell>
        </row>
        <row r="84">
          <cell r="F84" t="str">
            <v>5.3-1102-8-1/1</v>
          </cell>
          <cell r="G84" t="str">
            <v>Уборка свежевыпавшего снега вручную толщиной слоя до 10 см ( S= 3712 м2* 0,1*0,7*0,5 =129,92 м2)</v>
          </cell>
          <cell r="H84" t="str">
            <v>100 м2</v>
          </cell>
          <cell r="I84">
            <v>1.2991999999999999</v>
          </cell>
          <cell r="S84">
            <v>140694.01</v>
          </cell>
          <cell r="U84">
            <v>567.49055999999996</v>
          </cell>
          <cell r="X84">
            <v>98485.81</v>
          </cell>
          <cell r="Y84">
            <v>14069.4</v>
          </cell>
          <cell r="AE84">
            <v>0</v>
          </cell>
          <cell r="AF84">
            <v>108292.8</v>
          </cell>
          <cell r="AO84">
            <v>161.15</v>
          </cell>
          <cell r="AQ84">
            <v>0.65</v>
          </cell>
          <cell r="AT84">
            <v>70</v>
          </cell>
          <cell r="AU84">
            <v>10</v>
          </cell>
          <cell r="AV84">
            <v>1</v>
          </cell>
          <cell r="BA84">
            <v>1</v>
          </cell>
          <cell r="BZ84">
            <v>70</v>
          </cell>
          <cell r="CA84">
            <v>10</v>
          </cell>
          <cell r="CS84">
            <v>0</v>
          </cell>
          <cell r="DG84" t="str">
            <v>)*4*168</v>
          </cell>
          <cell r="DI84" t="str">
            <v>)*4*168</v>
          </cell>
        </row>
        <row r="85">
          <cell r="F85" t="str">
            <v>5.3-1102-8-3/1</v>
          </cell>
          <cell r="G85" t="str">
            <v>Уборка слежавшегося снега вручную( S=3712 м2*0,1*0,7*0,5=129.92м2)</v>
          </cell>
          <cell r="H85" t="str">
            <v>100 м2</v>
          </cell>
          <cell r="I85">
            <v>1.2991999999999999</v>
          </cell>
          <cell r="S85">
            <v>82794.69</v>
          </cell>
          <cell r="U85">
            <v>333.94636800000001</v>
          </cell>
          <cell r="X85">
            <v>57956.28</v>
          </cell>
          <cell r="Y85">
            <v>8279.4699999999993</v>
          </cell>
          <cell r="AE85">
            <v>0</v>
          </cell>
          <cell r="AF85">
            <v>63727.44</v>
          </cell>
          <cell r="AO85">
            <v>379.33</v>
          </cell>
          <cell r="AQ85">
            <v>1.53</v>
          </cell>
          <cell r="AT85">
            <v>70</v>
          </cell>
          <cell r="AU85">
            <v>10</v>
          </cell>
          <cell r="AV85">
            <v>1</v>
          </cell>
          <cell r="BA85">
            <v>1</v>
          </cell>
          <cell r="BZ85">
            <v>70</v>
          </cell>
          <cell r="CA85">
            <v>10</v>
          </cell>
          <cell r="CS85">
            <v>0</v>
          </cell>
          <cell r="DG85" t="str">
            <v>)*1*168</v>
          </cell>
          <cell r="DI85" t="str">
            <v>)*1*168</v>
          </cell>
        </row>
        <row r="86">
          <cell r="F86" t="str">
            <v>5.3-1102-8-1/1</v>
          </cell>
          <cell r="G86" t="str">
            <v>Уборка свежевыпавшего снега вручную толщиной слоя до 10 см ( S= 3712м2* 0,1*0,3*0,5 =55,68м2)</v>
          </cell>
          <cell r="H86" t="str">
            <v>100 м2</v>
          </cell>
          <cell r="I86">
            <v>0.55679999999999996</v>
          </cell>
          <cell r="S86">
            <v>60297.43</v>
          </cell>
          <cell r="U86">
            <v>243.21024</v>
          </cell>
          <cell r="X86">
            <v>42208.2</v>
          </cell>
          <cell r="Y86">
            <v>6029.74</v>
          </cell>
          <cell r="AE86">
            <v>0</v>
          </cell>
          <cell r="AF86">
            <v>108292.8</v>
          </cell>
          <cell r="AO86">
            <v>161.15</v>
          </cell>
          <cell r="AQ86">
            <v>0.65</v>
          </cell>
          <cell r="AT86">
            <v>70</v>
          </cell>
          <cell r="AU86">
            <v>10</v>
          </cell>
          <cell r="AV86">
            <v>1</v>
          </cell>
          <cell r="BA86">
            <v>1</v>
          </cell>
          <cell r="BZ86">
            <v>70</v>
          </cell>
          <cell r="CA86">
            <v>10</v>
          </cell>
          <cell r="CS86">
            <v>0</v>
          </cell>
          <cell r="DG86" t="str">
            <v>)*4*168</v>
          </cell>
          <cell r="DI86" t="str">
            <v>)*4*168</v>
          </cell>
        </row>
        <row r="87">
          <cell r="F87" t="str">
            <v>5.3-1102-8-2/1</v>
          </cell>
          <cell r="G87" t="str">
            <v>Уборка свежевыпавшего снега вручную, добавлять на каждые следующие 10 см увеличения толщины слоя</v>
          </cell>
          <cell r="H87" t="str">
            <v>100 м2</v>
          </cell>
          <cell r="I87">
            <v>0.55679999999999996</v>
          </cell>
          <cell r="S87">
            <v>43601.98</v>
          </cell>
          <cell r="U87">
            <v>175.85971199999997</v>
          </cell>
          <cell r="X87">
            <v>30521.39</v>
          </cell>
          <cell r="Y87">
            <v>4360.2</v>
          </cell>
          <cell r="AE87">
            <v>0</v>
          </cell>
          <cell r="AF87">
            <v>78308.160000000003</v>
          </cell>
          <cell r="AO87">
            <v>116.53</v>
          </cell>
          <cell r="AQ87">
            <v>0.47</v>
          </cell>
          <cell r="AT87">
            <v>70</v>
          </cell>
          <cell r="AU87">
            <v>10</v>
          </cell>
          <cell r="AV87">
            <v>1</v>
          </cell>
          <cell r="BA87">
            <v>1</v>
          </cell>
          <cell r="BZ87">
            <v>70</v>
          </cell>
          <cell r="CA87">
            <v>10</v>
          </cell>
          <cell r="CS87">
            <v>0</v>
          </cell>
          <cell r="DG87" t="str">
            <v>)*4*168</v>
          </cell>
          <cell r="DI87" t="str">
            <v>)*4*168</v>
          </cell>
        </row>
        <row r="88">
          <cell r="F88" t="str">
            <v>5.3-1102-24-1/1</v>
          </cell>
          <cell r="G88" t="str">
            <v>Уборка свежевыпавшего снега ручной самоходной машиной - ширина захвата 120 см( 20% от 3712 м2, S= 3712 м2 *0,2= 742,4 м2 )</v>
          </cell>
          <cell r="H88" t="str">
            <v>100 м2</v>
          </cell>
          <cell r="I88">
            <v>7.4240000000000004</v>
          </cell>
          <cell r="Q88">
            <v>169473.88</v>
          </cell>
          <cell r="R88">
            <v>449</v>
          </cell>
          <cell r="S88">
            <v>484225.35</v>
          </cell>
          <cell r="U88">
            <v>1746.1248000000001</v>
          </cell>
          <cell r="X88">
            <v>338957.75</v>
          </cell>
          <cell r="Y88">
            <v>48422.54</v>
          </cell>
          <cell r="AE88">
            <v>60.48</v>
          </cell>
          <cell r="AF88">
            <v>65224.32</v>
          </cell>
          <cell r="AM88">
            <v>33.97</v>
          </cell>
          <cell r="AN88">
            <v>0.09</v>
          </cell>
          <cell r="AO88">
            <v>97.06</v>
          </cell>
          <cell r="AQ88">
            <v>0.35</v>
          </cell>
          <cell r="AT88">
            <v>70</v>
          </cell>
          <cell r="AU88">
            <v>10</v>
          </cell>
          <cell r="AV88">
            <v>1</v>
          </cell>
          <cell r="BA88">
            <v>1</v>
          </cell>
          <cell r="BB88">
            <v>1</v>
          </cell>
          <cell r="BS88">
            <v>1</v>
          </cell>
          <cell r="BZ88">
            <v>70</v>
          </cell>
          <cell r="CA88">
            <v>10</v>
          </cell>
          <cell r="CS88">
            <v>60.48</v>
          </cell>
          <cell r="DE88" t="str">
            <v>)*4*168</v>
          </cell>
          <cell r="DF88" t="str">
            <v>)*4*168</v>
          </cell>
          <cell r="DG88" t="str">
            <v>)*4*168</v>
          </cell>
          <cell r="DI88" t="str">
            <v>)*4*168</v>
          </cell>
        </row>
        <row r="89">
          <cell r="F89" t="str">
            <v>5.3-1102-9-1/1</v>
          </cell>
          <cell r="G89" t="str">
            <v>Колка льда на обледеневших покрытиях вручную( S=3712м2*0,1*0,3*0,5=55.68 м2)</v>
          </cell>
          <cell r="H89" t="str">
            <v>100 м2</v>
          </cell>
          <cell r="I89">
            <v>0.55679999999999996</v>
          </cell>
          <cell r="S89">
            <v>111785.04</v>
          </cell>
          <cell r="U89">
            <v>450.87436799999995</v>
          </cell>
          <cell r="X89">
            <v>78249.53</v>
          </cell>
          <cell r="Y89">
            <v>11178.5</v>
          </cell>
          <cell r="AE89">
            <v>0</v>
          </cell>
          <cell r="AF89">
            <v>200763.36</v>
          </cell>
          <cell r="AO89">
            <v>597.51</v>
          </cell>
          <cell r="AQ89">
            <v>2.41</v>
          </cell>
          <cell r="AT89">
            <v>70</v>
          </cell>
          <cell r="AU89">
            <v>10</v>
          </cell>
          <cell r="AV89">
            <v>1</v>
          </cell>
          <cell r="BA89">
            <v>1</v>
          </cell>
          <cell r="BZ89">
            <v>70</v>
          </cell>
          <cell r="CA89">
            <v>10</v>
          </cell>
          <cell r="CS89">
            <v>0</v>
          </cell>
          <cell r="DG89" t="str">
            <v>)*2*168</v>
          </cell>
          <cell r="DI89" t="str">
            <v>)*2*168</v>
          </cell>
        </row>
        <row r="90">
          <cell r="F90" t="str">
            <v>калькуляция</v>
          </cell>
          <cell r="G90" t="str">
            <v>Посыпка  гранитной крошкой дорожных покрытий средствами малой механизации( расход крошки 100 г/м2)</v>
          </cell>
          <cell r="H90" t="str">
            <v>м2</v>
          </cell>
          <cell r="I90">
            <v>2598.4</v>
          </cell>
          <cell r="Q90">
            <v>576221.18000000005</v>
          </cell>
          <cell r="X90">
            <v>0</v>
          </cell>
          <cell r="Y90">
            <v>0</v>
          </cell>
          <cell r="AE90">
            <v>0</v>
          </cell>
          <cell r="AF90">
            <v>0</v>
          </cell>
          <cell r="AM90">
            <v>0.33</v>
          </cell>
          <cell r="AV90">
            <v>1</v>
          </cell>
          <cell r="BB90">
            <v>1</v>
          </cell>
          <cell r="BZ90">
            <v>0</v>
          </cell>
          <cell r="CA90">
            <v>0</v>
          </cell>
          <cell r="CS90">
            <v>0</v>
          </cell>
          <cell r="DE90" t="str">
            <v>)*4*168</v>
          </cell>
        </row>
        <row r="91">
          <cell r="F91" t="str">
            <v>цена поставщика</v>
          </cell>
          <cell r="G91" t="str">
            <v>Крошка гранитная</v>
          </cell>
          <cell r="H91" t="str">
            <v>кг</v>
          </cell>
          <cell r="I91">
            <v>174612.48000000001</v>
          </cell>
          <cell r="O91">
            <v>773533.29</v>
          </cell>
          <cell r="X91">
            <v>0</v>
          </cell>
          <cell r="Y91">
            <v>0</v>
          </cell>
          <cell r="AE91">
            <v>0</v>
          </cell>
          <cell r="AF91">
            <v>0</v>
          </cell>
          <cell r="AK91">
            <v>4.43</v>
          </cell>
          <cell r="AV91">
            <v>1</v>
          </cell>
          <cell r="AW91">
            <v>1</v>
          </cell>
          <cell r="BC91">
            <v>1</v>
          </cell>
          <cell r="BZ91">
            <v>0</v>
          </cell>
          <cell r="CA91">
            <v>0</v>
          </cell>
          <cell r="CS91">
            <v>0</v>
          </cell>
        </row>
        <row r="92">
          <cell r="F92" t="str">
            <v>калькуляция</v>
          </cell>
          <cell r="G92" t="str">
            <v>Посыпка гранитной крошкой дорожных покрытий вручную( 100г/м2 )</v>
          </cell>
          <cell r="H92" t="str">
            <v>м2</v>
          </cell>
          <cell r="I92">
            <v>1113.5999999999999</v>
          </cell>
          <cell r="S92">
            <v>1556545.54</v>
          </cell>
          <cell r="X92">
            <v>0</v>
          </cell>
          <cell r="Y92">
            <v>0</v>
          </cell>
          <cell r="AE92">
            <v>0</v>
          </cell>
          <cell r="AF92">
            <v>1397.76</v>
          </cell>
          <cell r="AO92">
            <v>2.08</v>
          </cell>
          <cell r="AV92">
            <v>1</v>
          </cell>
          <cell r="BA92">
            <v>1</v>
          </cell>
          <cell r="BZ92">
            <v>0</v>
          </cell>
          <cell r="CA92">
            <v>0</v>
          </cell>
          <cell r="CS92">
            <v>0</v>
          </cell>
          <cell r="DG92" t="str">
            <v>)*4*168</v>
          </cell>
        </row>
        <row r="93">
          <cell r="F93" t="str">
            <v>цена поставщика</v>
          </cell>
          <cell r="G93" t="str">
            <v>Крошка гранитная</v>
          </cell>
          <cell r="H93" t="str">
            <v>кг</v>
          </cell>
          <cell r="I93">
            <v>74833.919999999998</v>
          </cell>
          <cell r="O93">
            <v>331514.27</v>
          </cell>
          <cell r="X93">
            <v>0</v>
          </cell>
          <cell r="Y93">
            <v>0</v>
          </cell>
          <cell r="AE93">
            <v>0</v>
          </cell>
          <cell r="AF93">
            <v>0</v>
          </cell>
          <cell r="AK93">
            <v>4.43</v>
          </cell>
          <cell r="AV93">
            <v>1</v>
          </cell>
          <cell r="AW93">
            <v>1</v>
          </cell>
          <cell r="BC93">
            <v>1</v>
          </cell>
          <cell r="BZ93">
            <v>0</v>
          </cell>
          <cell r="CA93">
            <v>0</v>
          </cell>
          <cell r="CS93">
            <v>0</v>
          </cell>
        </row>
        <row r="94">
          <cell r="F94" t="str">
            <v>5.4-1201-1-1/1</v>
          </cell>
          <cell r="G94" t="str">
            <v>Сбор случайного мусора по территории</v>
          </cell>
          <cell r="H94" t="str">
            <v>100 м2</v>
          </cell>
          <cell r="I94">
            <v>37.119999999999997</v>
          </cell>
          <cell r="P94">
            <v>34013.800000000003</v>
          </cell>
          <cell r="S94">
            <v>611262.46</v>
          </cell>
          <cell r="U94">
            <v>2464.768</v>
          </cell>
          <cell r="X94">
            <v>427883.72</v>
          </cell>
          <cell r="Y94">
            <v>61126.25</v>
          </cell>
          <cell r="AE94">
            <v>0</v>
          </cell>
          <cell r="AF94">
            <v>16467.2</v>
          </cell>
          <cell r="AL94">
            <v>0.69</v>
          </cell>
          <cell r="AO94">
            <v>12.4</v>
          </cell>
          <cell r="AQ94">
            <v>0.05</v>
          </cell>
          <cell r="AT94">
            <v>70</v>
          </cell>
          <cell r="AU94">
            <v>10</v>
          </cell>
          <cell r="AV94">
            <v>1</v>
          </cell>
          <cell r="AW94">
            <v>1</v>
          </cell>
          <cell r="BA94">
            <v>1</v>
          </cell>
          <cell r="BC94">
            <v>1</v>
          </cell>
          <cell r="BZ94">
            <v>70</v>
          </cell>
          <cell r="CA94">
            <v>10</v>
          </cell>
          <cell r="CS94">
            <v>0</v>
          </cell>
          <cell r="DD94" t="str">
            <v>)*4*332</v>
          </cell>
          <cell r="DG94" t="str">
            <v>)*4*332</v>
          </cell>
          <cell r="DI94" t="str">
            <v>)*4*332</v>
          </cell>
        </row>
        <row r="96">
          <cell r="G96" t="str">
            <v>Содержание  дорожек с мощением, рассчитанным на нагрузку 16т/ось ( S= 3712 м2 ) ( МКЗ )</v>
          </cell>
        </row>
        <row r="126">
          <cell r="G126" t="str">
            <v>Содержание садово-парковых дорожек с мощением парковым, 100% пешеходным ( S= 7199 м2 ).</v>
          </cell>
        </row>
        <row r="130">
          <cell r="F130" t="str">
            <v>калькуляция</v>
          </cell>
          <cell r="G130" t="str">
            <v>Подметание дорожек  механизированным способом ( S=7199 м2 *0,7=5039,3 м2)</v>
          </cell>
          <cell r="H130" t="str">
            <v>м2</v>
          </cell>
          <cell r="I130">
            <v>5039.3</v>
          </cell>
          <cell r="Q130">
            <v>2148757.52</v>
          </cell>
          <cell r="X130">
            <v>0</v>
          </cell>
          <cell r="Y130">
            <v>0</v>
          </cell>
          <cell r="AE130">
            <v>0</v>
          </cell>
          <cell r="AF130">
            <v>0</v>
          </cell>
          <cell r="AM130">
            <v>0.65</v>
          </cell>
          <cell r="AV130">
            <v>1</v>
          </cell>
          <cell r="BB130">
            <v>1</v>
          </cell>
          <cell r="BZ130">
            <v>0</v>
          </cell>
          <cell r="CA130">
            <v>0</v>
          </cell>
          <cell r="CS130">
            <v>0</v>
          </cell>
          <cell r="DE130" t="str">
            <v>)*4*164</v>
          </cell>
        </row>
        <row r="131">
          <cell r="F131" t="str">
            <v>калькуляция</v>
          </cell>
          <cell r="G131" t="str">
            <v>Подметание дорожек вручную ( S=7199 м2*0,3=2159,7 м2)</v>
          </cell>
          <cell r="H131" t="str">
            <v>м2</v>
          </cell>
          <cell r="I131">
            <v>2159.6999999999998</v>
          </cell>
          <cell r="S131">
            <v>1870127.42</v>
          </cell>
          <cell r="X131">
            <v>0</v>
          </cell>
          <cell r="Y131">
            <v>0</v>
          </cell>
          <cell r="AE131">
            <v>0</v>
          </cell>
          <cell r="AF131">
            <v>865.92</v>
          </cell>
          <cell r="AO131">
            <v>1.32</v>
          </cell>
          <cell r="AV131">
            <v>1</v>
          </cell>
          <cell r="BA131">
            <v>1</v>
          </cell>
          <cell r="BZ131">
            <v>0</v>
          </cell>
          <cell r="CA131">
            <v>0</v>
          </cell>
          <cell r="CS131">
            <v>0</v>
          </cell>
          <cell r="DG131" t="str">
            <v>)*4*164</v>
          </cell>
        </row>
        <row r="132">
          <cell r="F132" t="str">
            <v>калькуляция</v>
          </cell>
          <cell r="G132" t="str">
            <v>Мытье дорожек  механизированным способом( 30% от 7199 м2)</v>
          </cell>
          <cell r="H132" t="str">
            <v>м2</v>
          </cell>
          <cell r="I132">
            <v>2159.6999999999998</v>
          </cell>
          <cell r="Q132">
            <v>1161745.82</v>
          </cell>
          <cell r="X132">
            <v>0</v>
          </cell>
          <cell r="Y132">
            <v>0</v>
          </cell>
          <cell r="AE132">
            <v>0</v>
          </cell>
          <cell r="AF132">
            <v>0</v>
          </cell>
          <cell r="AM132">
            <v>3.28</v>
          </cell>
          <cell r="AV132">
            <v>1</v>
          </cell>
          <cell r="BB132">
            <v>1</v>
          </cell>
          <cell r="BZ132">
            <v>0</v>
          </cell>
          <cell r="CA132">
            <v>0</v>
          </cell>
          <cell r="CS132">
            <v>0</v>
          </cell>
          <cell r="DE132" t="str">
            <v>)*1*164</v>
          </cell>
        </row>
        <row r="133">
          <cell r="F133" t="str">
            <v>цена поставщика</v>
          </cell>
          <cell r="G133" t="str">
            <v>Средство для механизированной мойки дорожных покрытий в зимнее время -ПГМ Жидкий хлористый кальций</v>
          </cell>
          <cell r="H133" t="str">
            <v>л</v>
          </cell>
          <cell r="I133">
            <v>106.25724</v>
          </cell>
          <cell r="O133">
            <v>1250.6500000000001</v>
          </cell>
          <cell r="X133">
            <v>0</v>
          </cell>
          <cell r="Y133">
            <v>0</v>
          </cell>
          <cell r="AE133">
            <v>0</v>
          </cell>
          <cell r="AF133">
            <v>0</v>
          </cell>
          <cell r="AK133">
            <v>11.77</v>
          </cell>
          <cell r="AV133">
            <v>1</v>
          </cell>
          <cell r="AW133">
            <v>1</v>
          </cell>
          <cell r="BC133">
            <v>1</v>
          </cell>
          <cell r="BZ133">
            <v>0</v>
          </cell>
          <cell r="CA133">
            <v>0</v>
          </cell>
          <cell r="CS133">
            <v>0</v>
          </cell>
        </row>
        <row r="134">
          <cell r="F134" t="str">
            <v>5.3-1102-12-1/1</v>
          </cell>
          <cell r="G134" t="str">
            <v>Уборка снега средствами малой механизации( 70% от 7199 м2 , S=7199 м2*0,7=5039,3 м2 )</v>
          </cell>
          <cell r="H134" t="str">
            <v>1000 м2</v>
          </cell>
          <cell r="I134">
            <v>5.0392999999999999</v>
          </cell>
          <cell r="Q134">
            <v>2398390.7400000002</v>
          </cell>
          <cell r="R134">
            <v>799124.94</v>
          </cell>
          <cell r="X134">
            <v>0</v>
          </cell>
          <cell r="Y134">
            <v>0</v>
          </cell>
          <cell r="AE134">
            <v>158578.56</v>
          </cell>
          <cell r="AF134">
            <v>0</v>
          </cell>
          <cell r="AM134">
            <v>708.24</v>
          </cell>
          <cell r="AN134">
            <v>235.98</v>
          </cell>
          <cell r="AV134">
            <v>1</v>
          </cell>
          <cell r="BB134">
            <v>1</v>
          </cell>
          <cell r="BS134">
            <v>1</v>
          </cell>
          <cell r="BZ134">
            <v>70</v>
          </cell>
          <cell r="CA134">
            <v>10</v>
          </cell>
          <cell r="CS134">
            <v>158578.56</v>
          </cell>
          <cell r="DE134" t="str">
            <v>)*4*168</v>
          </cell>
          <cell r="DF134" t="str">
            <v>)*4*168</v>
          </cell>
        </row>
        <row r="135">
          <cell r="F135" t="str">
            <v>5.3-1102-8-1/1</v>
          </cell>
          <cell r="G135" t="str">
            <v>Уборка свежевыпавшего снега вручную толщиной слоя до 10 см ( S= 7199м2* 0,1*0,7*0,5 =251,97 м2)</v>
          </cell>
          <cell r="H135" t="str">
            <v>100 м2</v>
          </cell>
          <cell r="I135">
            <v>2.5196999999999998</v>
          </cell>
          <cell r="S135">
            <v>272865.37</v>
          </cell>
          <cell r="U135">
            <v>1100.6049599999999</v>
          </cell>
          <cell r="X135">
            <v>191005.76</v>
          </cell>
          <cell r="Y135">
            <v>27286.54</v>
          </cell>
          <cell r="AE135">
            <v>0</v>
          </cell>
          <cell r="AF135">
            <v>108292.8</v>
          </cell>
          <cell r="AO135">
            <v>161.15</v>
          </cell>
          <cell r="AQ135">
            <v>0.65</v>
          </cell>
          <cell r="AT135">
            <v>70</v>
          </cell>
          <cell r="AU135">
            <v>10</v>
          </cell>
          <cell r="AV135">
            <v>1</v>
          </cell>
          <cell r="BA135">
            <v>1</v>
          </cell>
          <cell r="BZ135">
            <v>70</v>
          </cell>
          <cell r="CA135">
            <v>10</v>
          </cell>
          <cell r="CS135">
            <v>0</v>
          </cell>
          <cell r="DG135" t="str">
            <v>)*4*168</v>
          </cell>
          <cell r="DI135" t="str">
            <v>)*4*168</v>
          </cell>
        </row>
        <row r="136">
          <cell r="F136" t="str">
            <v>5.3-1102-8-3/1</v>
          </cell>
          <cell r="G136" t="str">
            <v>Уборка слежавшегося снега вручную( S=7199 м2*0,1*0,7*0,5=251,97 м2)</v>
          </cell>
          <cell r="H136" t="str">
            <v>100 м2</v>
          </cell>
          <cell r="I136">
            <v>2.5196999999999998</v>
          </cell>
          <cell r="S136">
            <v>160574.03</v>
          </cell>
          <cell r="U136">
            <v>647.66368799999998</v>
          </cell>
          <cell r="X136">
            <v>112401.82</v>
          </cell>
          <cell r="Y136">
            <v>16057.4</v>
          </cell>
          <cell r="AE136">
            <v>0</v>
          </cell>
          <cell r="AF136">
            <v>63727.44</v>
          </cell>
          <cell r="AO136">
            <v>379.33</v>
          </cell>
          <cell r="AQ136">
            <v>1.53</v>
          </cell>
          <cell r="AT136">
            <v>70</v>
          </cell>
          <cell r="AU136">
            <v>10</v>
          </cell>
          <cell r="AV136">
            <v>1</v>
          </cell>
          <cell r="BA136">
            <v>1</v>
          </cell>
          <cell r="BZ136">
            <v>70</v>
          </cell>
          <cell r="CA136">
            <v>10</v>
          </cell>
          <cell r="CS136">
            <v>0</v>
          </cell>
          <cell r="DG136" t="str">
            <v>)*1*168</v>
          </cell>
          <cell r="DI136" t="str">
            <v>)*1*168</v>
          </cell>
        </row>
        <row r="137">
          <cell r="F137" t="str">
            <v>5.3-1102-8-1/1</v>
          </cell>
          <cell r="G137" t="str">
            <v>Уборка свежевыпавшего снега вручную толщиной слоя до 10 см ( S= 7199м2* 0,1*0,3 *0,5= 107,98м2)</v>
          </cell>
          <cell r="H137" t="str">
            <v>100 м2</v>
          </cell>
          <cell r="I137">
            <v>1.0798000000000001</v>
          </cell>
          <cell r="S137">
            <v>116934.57</v>
          </cell>
          <cell r="U137">
            <v>471.65664000000004</v>
          </cell>
          <cell r="X137">
            <v>81854.2</v>
          </cell>
          <cell r="Y137">
            <v>11693.46</v>
          </cell>
          <cell r="AE137">
            <v>0</v>
          </cell>
          <cell r="AF137">
            <v>108292.8</v>
          </cell>
          <cell r="AO137">
            <v>161.15</v>
          </cell>
          <cell r="AQ137">
            <v>0.65</v>
          </cell>
          <cell r="AT137">
            <v>70</v>
          </cell>
          <cell r="AU137">
            <v>10</v>
          </cell>
          <cell r="AV137">
            <v>1</v>
          </cell>
          <cell r="BA137">
            <v>1</v>
          </cell>
          <cell r="BZ137">
            <v>70</v>
          </cell>
          <cell r="CA137">
            <v>10</v>
          </cell>
          <cell r="CS137">
            <v>0</v>
          </cell>
          <cell r="DG137" t="str">
            <v>)*4*168</v>
          </cell>
          <cell r="DI137" t="str">
            <v>)*4*168</v>
          </cell>
        </row>
        <row r="138">
          <cell r="F138" t="str">
            <v>5.3-1102-8-2/1</v>
          </cell>
          <cell r="G138" t="str">
            <v>Уборка свежевыпавшего снега вручную, добавлять на каждые следующие 10 см увеличения толщины слоя</v>
          </cell>
          <cell r="H138" t="str">
            <v>100 м2</v>
          </cell>
          <cell r="I138">
            <v>1.0798000000000001</v>
          </cell>
          <cell r="S138">
            <v>84557.15</v>
          </cell>
          <cell r="U138">
            <v>341.04403200000002</v>
          </cell>
          <cell r="X138">
            <v>59190.01</v>
          </cell>
          <cell r="Y138">
            <v>8455.7199999999993</v>
          </cell>
          <cell r="AE138">
            <v>0</v>
          </cell>
          <cell r="AF138">
            <v>78308.160000000003</v>
          </cell>
          <cell r="AO138">
            <v>116.53</v>
          </cell>
          <cell r="AQ138">
            <v>0.47</v>
          </cell>
          <cell r="AT138">
            <v>70</v>
          </cell>
          <cell r="AU138">
            <v>10</v>
          </cell>
          <cell r="AV138">
            <v>1</v>
          </cell>
          <cell r="BA138">
            <v>1</v>
          </cell>
          <cell r="BZ138">
            <v>70</v>
          </cell>
          <cell r="CA138">
            <v>10</v>
          </cell>
          <cell r="CS138">
            <v>0</v>
          </cell>
          <cell r="DG138" t="str">
            <v>)*4*168</v>
          </cell>
          <cell r="DI138" t="str">
            <v>)*4*168</v>
          </cell>
        </row>
        <row r="139">
          <cell r="F139" t="str">
            <v>5.3-1102-24-1/1</v>
          </cell>
          <cell r="G139" t="str">
            <v>Уборка свежевыпавшего снега ручной самоходной машиной - ширина захвата 120 см( 20% от 7199 м2, V= 7199 м2 *0,2= 1439,8 м2 )</v>
          </cell>
          <cell r="H139" t="str">
            <v>100 м2</v>
          </cell>
          <cell r="I139">
            <v>14.398</v>
          </cell>
          <cell r="Q139">
            <v>328675.24</v>
          </cell>
          <cell r="R139">
            <v>870.79</v>
          </cell>
          <cell r="S139">
            <v>939099.76</v>
          </cell>
          <cell r="U139">
            <v>3386.4096</v>
          </cell>
          <cell r="X139">
            <v>657369.82999999996</v>
          </cell>
          <cell r="Y139">
            <v>93909.98</v>
          </cell>
          <cell r="AE139">
            <v>60.48</v>
          </cell>
          <cell r="AF139">
            <v>65224.32</v>
          </cell>
          <cell r="AM139">
            <v>33.97</v>
          </cell>
          <cell r="AN139">
            <v>0.09</v>
          </cell>
          <cell r="AO139">
            <v>97.06</v>
          </cell>
          <cell r="AQ139">
            <v>0.35</v>
          </cell>
          <cell r="AT139">
            <v>70</v>
          </cell>
          <cell r="AU139">
            <v>10</v>
          </cell>
          <cell r="AV139">
            <v>1</v>
          </cell>
          <cell r="BA139">
            <v>1</v>
          </cell>
          <cell r="BB139">
            <v>1</v>
          </cell>
          <cell r="BS139">
            <v>1</v>
          </cell>
          <cell r="BZ139">
            <v>70</v>
          </cell>
          <cell r="CA139">
            <v>10</v>
          </cell>
          <cell r="CS139">
            <v>60.48</v>
          </cell>
          <cell r="DE139" t="str">
            <v>)*4*168</v>
          </cell>
          <cell r="DF139" t="str">
            <v>)*4*168</v>
          </cell>
          <cell r="DG139" t="str">
            <v>)*4*168</v>
          </cell>
          <cell r="DI139" t="str">
            <v>)*4*168</v>
          </cell>
        </row>
        <row r="140">
          <cell r="F140" t="str">
            <v>5.3-1102-9-1/1</v>
          </cell>
          <cell r="G140" t="str">
            <v>Колка льда на обледеневших покрытиях вручную( S=7199 м2*0,1*03*0,5= 107,98 м2)</v>
          </cell>
          <cell r="H140" t="str">
            <v>100 м2</v>
          </cell>
          <cell r="I140">
            <v>1.0798000000000001</v>
          </cell>
          <cell r="S140">
            <v>216784.28</v>
          </cell>
          <cell r="U140">
            <v>874.37884800000006</v>
          </cell>
          <cell r="X140">
            <v>151749</v>
          </cell>
          <cell r="Y140">
            <v>21678.43</v>
          </cell>
          <cell r="AE140">
            <v>0</v>
          </cell>
          <cell r="AF140">
            <v>200763.36</v>
          </cell>
          <cell r="AO140">
            <v>597.51</v>
          </cell>
          <cell r="AQ140">
            <v>2.41</v>
          </cell>
          <cell r="AT140">
            <v>70</v>
          </cell>
          <cell r="AU140">
            <v>10</v>
          </cell>
          <cell r="AV140">
            <v>1</v>
          </cell>
          <cell r="BA140">
            <v>1</v>
          </cell>
          <cell r="BZ140">
            <v>70</v>
          </cell>
          <cell r="CA140">
            <v>10</v>
          </cell>
          <cell r="CS140">
            <v>0</v>
          </cell>
          <cell r="DG140" t="str">
            <v>)*2*168</v>
          </cell>
          <cell r="DI140" t="str">
            <v>)*2*168</v>
          </cell>
        </row>
        <row r="141">
          <cell r="F141" t="str">
            <v>калькуляция</v>
          </cell>
          <cell r="G141" t="str">
            <v>Посыпка  гранитной крошкой дорожных покрытий средствами малой механизации( расход крошки 100 г/м2)</v>
          </cell>
          <cell r="H141" t="str">
            <v>м2</v>
          </cell>
          <cell r="I141">
            <v>5039.3</v>
          </cell>
          <cell r="Q141">
            <v>1117515.17</v>
          </cell>
          <cell r="X141">
            <v>0</v>
          </cell>
          <cell r="Y141">
            <v>0</v>
          </cell>
          <cell r="AE141">
            <v>0</v>
          </cell>
          <cell r="AF141">
            <v>0</v>
          </cell>
          <cell r="AM141">
            <v>0.33</v>
          </cell>
          <cell r="AV141">
            <v>1</v>
          </cell>
          <cell r="BB141">
            <v>1</v>
          </cell>
          <cell r="BZ141">
            <v>0</v>
          </cell>
          <cell r="CA141">
            <v>0</v>
          </cell>
          <cell r="CS141">
            <v>0</v>
          </cell>
          <cell r="DE141" t="str">
            <v>)*4*168</v>
          </cell>
        </row>
        <row r="142">
          <cell r="F142" t="str">
            <v>цена поставщика</v>
          </cell>
          <cell r="G142" t="str">
            <v>Крошка гранитная</v>
          </cell>
          <cell r="H142" t="str">
            <v>кг</v>
          </cell>
          <cell r="I142">
            <v>338640.96</v>
          </cell>
          <cell r="O142">
            <v>1500179.45</v>
          </cell>
          <cell r="X142">
            <v>0</v>
          </cell>
          <cell r="Y142">
            <v>0</v>
          </cell>
          <cell r="AE142">
            <v>0</v>
          </cell>
          <cell r="AF142">
            <v>0</v>
          </cell>
          <cell r="AK142">
            <v>4.43</v>
          </cell>
          <cell r="AV142">
            <v>1</v>
          </cell>
          <cell r="AW142">
            <v>1</v>
          </cell>
          <cell r="BC142">
            <v>1</v>
          </cell>
          <cell r="BZ142">
            <v>0</v>
          </cell>
          <cell r="CA142">
            <v>0</v>
          </cell>
          <cell r="CS142">
            <v>0</v>
          </cell>
        </row>
        <row r="143">
          <cell r="F143" t="str">
            <v>калькуляция</v>
          </cell>
          <cell r="G143" t="str">
            <v>Посыпка гранитной крошкой дорожных покрытий вручную( 100г/м2 )</v>
          </cell>
          <cell r="H143" t="str">
            <v>м2</v>
          </cell>
          <cell r="I143">
            <v>2159.6999999999998</v>
          </cell>
          <cell r="S143">
            <v>3018742.27</v>
          </cell>
          <cell r="X143">
            <v>0</v>
          </cell>
          <cell r="Y143">
            <v>0</v>
          </cell>
          <cell r="AE143">
            <v>0</v>
          </cell>
          <cell r="AF143">
            <v>1397.76</v>
          </cell>
          <cell r="AO143">
            <v>2.08</v>
          </cell>
          <cell r="AV143">
            <v>1</v>
          </cell>
          <cell r="BA143">
            <v>1</v>
          </cell>
          <cell r="BZ143">
            <v>0</v>
          </cell>
          <cell r="CA143">
            <v>0</v>
          </cell>
          <cell r="CS143">
            <v>0</v>
          </cell>
          <cell r="DG143" t="str">
            <v>)*4*168</v>
          </cell>
        </row>
        <row r="144">
          <cell r="F144" t="str">
            <v>цена поставщика</v>
          </cell>
          <cell r="H144" t="str">
            <v>кг</v>
          </cell>
          <cell r="I144">
            <v>145131.84</v>
          </cell>
          <cell r="O144">
            <v>535536.49</v>
          </cell>
          <cell r="X144">
            <v>0</v>
          </cell>
          <cell r="Y144">
            <v>0</v>
          </cell>
          <cell r="AE144">
            <v>0</v>
          </cell>
          <cell r="AF144">
            <v>0</v>
          </cell>
          <cell r="AK144">
            <v>3.69</v>
          </cell>
          <cell r="AV144">
            <v>1</v>
          </cell>
          <cell r="AW144">
            <v>1</v>
          </cell>
          <cell r="BC144">
            <v>1</v>
          </cell>
          <cell r="BZ144">
            <v>0</v>
          </cell>
          <cell r="CA144">
            <v>0</v>
          </cell>
          <cell r="CS144">
            <v>0</v>
          </cell>
        </row>
        <row r="145">
          <cell r="F145" t="str">
            <v>5.4-1201-1-1/1</v>
          </cell>
          <cell r="G145" t="str">
            <v>Сбор случайного мусора по территории</v>
          </cell>
          <cell r="H145" t="str">
            <v>100 м2</v>
          </cell>
          <cell r="I145">
            <v>71.989999999999995</v>
          </cell>
          <cell r="P145">
            <v>65965.88</v>
          </cell>
          <cell r="S145">
            <v>1185473.73</v>
          </cell>
          <cell r="U145">
            <v>4780.1360000000004</v>
          </cell>
          <cell r="X145">
            <v>829831.61</v>
          </cell>
          <cell r="Y145">
            <v>118547.37</v>
          </cell>
          <cell r="AE145">
            <v>0</v>
          </cell>
          <cell r="AF145">
            <v>16467.2</v>
          </cell>
          <cell r="AL145">
            <v>0.69</v>
          </cell>
          <cell r="AO145">
            <v>12.4</v>
          </cell>
          <cell r="AQ145">
            <v>0.05</v>
          </cell>
          <cell r="AT145">
            <v>70</v>
          </cell>
          <cell r="AU145">
            <v>10</v>
          </cell>
          <cell r="AV145">
            <v>1</v>
          </cell>
          <cell r="AW145">
            <v>1</v>
          </cell>
          <cell r="BA145">
            <v>1</v>
          </cell>
          <cell r="BC145">
            <v>1</v>
          </cell>
          <cell r="BZ145">
            <v>70</v>
          </cell>
          <cell r="CA145">
            <v>10</v>
          </cell>
          <cell r="CS145">
            <v>0</v>
          </cell>
          <cell r="DD145" t="str">
            <v>)*4*332</v>
          </cell>
          <cell r="DG145" t="str">
            <v>)*4*332</v>
          </cell>
          <cell r="DI145" t="str">
            <v>)*4*332</v>
          </cell>
        </row>
        <row r="147">
          <cell r="G147" t="str">
            <v>Содержание садово-парковых дорожек с мощением парковым, 100% пешеходным ( S= 7199 м2 ).</v>
          </cell>
        </row>
        <row r="177">
          <cell r="G177" t="str">
            <v>Содержание дорожек с мощением, 100% пешеходным ( S= 4341,27 м2) ( МКЗ ).</v>
          </cell>
        </row>
        <row r="181">
          <cell r="F181" t="str">
            <v>калькуляция</v>
          </cell>
          <cell r="G181" t="str">
            <v>Подметание дорожек  механизированным способом ( S=4341,27 м2 *0,7=3038,89м2)</v>
          </cell>
          <cell r="H181" t="str">
            <v>м2</v>
          </cell>
          <cell r="I181">
            <v>3038.89</v>
          </cell>
          <cell r="Q181">
            <v>1295782.7</v>
          </cell>
          <cell r="X181">
            <v>0</v>
          </cell>
          <cell r="Y181">
            <v>0</v>
          </cell>
          <cell r="AE181">
            <v>0</v>
          </cell>
          <cell r="AF181">
            <v>0</v>
          </cell>
          <cell r="AM181">
            <v>0.65</v>
          </cell>
          <cell r="AV181">
            <v>1</v>
          </cell>
          <cell r="BB181">
            <v>1</v>
          </cell>
          <cell r="BZ181">
            <v>0</v>
          </cell>
          <cell r="CA181">
            <v>0</v>
          </cell>
          <cell r="CS181">
            <v>0</v>
          </cell>
          <cell r="DE181" t="str">
            <v>)*4*164</v>
          </cell>
        </row>
        <row r="182">
          <cell r="F182" t="str">
            <v>калькуляция</v>
          </cell>
          <cell r="G182" t="str">
            <v>Подметание дорожек  вручную ( S=4341,27 м2*0,3=1302,38 м2)</v>
          </cell>
          <cell r="H182" t="str">
            <v>м2</v>
          </cell>
          <cell r="I182">
            <v>1302.3800000000001</v>
          </cell>
          <cell r="S182">
            <v>1127756.8899999999</v>
          </cell>
          <cell r="X182">
            <v>0</v>
          </cell>
          <cell r="Y182">
            <v>0</v>
          </cell>
          <cell r="AE182">
            <v>0</v>
          </cell>
          <cell r="AF182">
            <v>865.92</v>
          </cell>
          <cell r="AO182">
            <v>1.32</v>
          </cell>
          <cell r="AV182">
            <v>1</v>
          </cell>
          <cell r="BA182">
            <v>1</v>
          </cell>
          <cell r="BZ182">
            <v>0</v>
          </cell>
          <cell r="CA182">
            <v>0</v>
          </cell>
          <cell r="CS182">
            <v>0</v>
          </cell>
          <cell r="DG182" t="str">
            <v>)*4*164</v>
          </cell>
        </row>
        <row r="183">
          <cell r="F183" t="str">
            <v>калькуляция</v>
          </cell>
          <cell r="G183" t="str">
            <v>Мытье дорожек  механизированным способом( 30% от 4341,27 м2)</v>
          </cell>
          <cell r="H183" t="str">
            <v>м2</v>
          </cell>
          <cell r="I183">
            <v>1302.3800000000001</v>
          </cell>
          <cell r="Q183">
            <v>700576.25</v>
          </cell>
          <cell r="X183">
            <v>0</v>
          </cell>
          <cell r="Y183">
            <v>0</v>
          </cell>
          <cell r="AE183">
            <v>0</v>
          </cell>
          <cell r="AF183">
            <v>0</v>
          </cell>
          <cell r="AM183">
            <v>3.28</v>
          </cell>
          <cell r="AV183">
            <v>1</v>
          </cell>
          <cell r="BB183">
            <v>1</v>
          </cell>
          <cell r="BZ183">
            <v>0</v>
          </cell>
          <cell r="CA183">
            <v>0</v>
          </cell>
          <cell r="CS183">
            <v>0</v>
          </cell>
          <cell r="DE183" t="str">
            <v>)*1*164</v>
          </cell>
        </row>
        <row r="184">
          <cell r="F184" t="str">
            <v>цена поставщика</v>
          </cell>
          <cell r="G184" t="str">
            <v>Средство для механизированной мойки дорожных покрытий в зимнее время -ПГМ Жидкий хлористый кальций</v>
          </cell>
          <cell r="H184" t="str">
            <v>л</v>
          </cell>
          <cell r="I184">
            <v>64.077095999999997</v>
          </cell>
          <cell r="O184">
            <v>754.19</v>
          </cell>
          <cell r="X184">
            <v>0</v>
          </cell>
          <cell r="Y184">
            <v>0</v>
          </cell>
          <cell r="AE184">
            <v>0</v>
          </cell>
          <cell r="AF184">
            <v>0</v>
          </cell>
          <cell r="AK184">
            <v>11.77</v>
          </cell>
          <cell r="AV184">
            <v>1</v>
          </cell>
          <cell r="AW184">
            <v>1</v>
          </cell>
          <cell r="BC184">
            <v>1</v>
          </cell>
          <cell r="BZ184">
            <v>0</v>
          </cell>
          <cell r="CA184">
            <v>0</v>
          </cell>
          <cell r="CS184">
            <v>0</v>
          </cell>
        </row>
        <row r="185">
          <cell r="F185" t="str">
            <v>5.3-1102-12-1/1</v>
          </cell>
          <cell r="G185" t="str">
            <v>Уборка снега средствами малой механизации( 70% от 4341,27 м2 , S=4341,27 м2*0,7=3038,89 м2 )</v>
          </cell>
          <cell r="H185" t="str">
            <v>1000 м2</v>
          </cell>
          <cell r="I185">
            <v>3.0388899999999999</v>
          </cell>
          <cell r="Q185">
            <v>1446321.04</v>
          </cell>
          <cell r="R185">
            <v>481902.8</v>
          </cell>
          <cell r="X185">
            <v>0</v>
          </cell>
          <cell r="Y185">
            <v>0</v>
          </cell>
          <cell r="AE185">
            <v>158578.56</v>
          </cell>
          <cell r="AF185">
            <v>0</v>
          </cell>
          <cell r="AM185">
            <v>708.24</v>
          </cell>
          <cell r="AN185">
            <v>235.98</v>
          </cell>
          <cell r="AV185">
            <v>1</v>
          </cell>
          <cell r="BB185">
            <v>1</v>
          </cell>
          <cell r="BS185">
            <v>1</v>
          </cell>
          <cell r="BZ185">
            <v>70</v>
          </cell>
          <cell r="CA185">
            <v>10</v>
          </cell>
          <cell r="CS185">
            <v>158578.56</v>
          </cell>
          <cell r="DE185" t="str">
            <v>)*4*168</v>
          </cell>
          <cell r="DF185" t="str">
            <v>)*4*168</v>
          </cell>
        </row>
        <row r="186">
          <cell r="F186" t="str">
            <v>5.3-1102-8-1/1</v>
          </cell>
          <cell r="G186" t="str">
            <v>Уборка свежевыпавшего снега вручную толщиной слоя до 10 см ( S= 4341,27 м2* 0,1*0,7*0,5 =151,94м2)</v>
          </cell>
          <cell r="H186" t="str">
            <v>100 м2</v>
          </cell>
          <cell r="I186">
            <v>1.5194000000000001</v>
          </cell>
          <cell r="S186">
            <v>164540.07999999999</v>
          </cell>
          <cell r="U186">
            <v>663.67392000000007</v>
          </cell>
          <cell r="X186">
            <v>115178.06</v>
          </cell>
          <cell r="Y186">
            <v>16454.009999999998</v>
          </cell>
          <cell r="AE186">
            <v>0</v>
          </cell>
          <cell r="AF186">
            <v>108292.8</v>
          </cell>
          <cell r="AO186">
            <v>161.15</v>
          </cell>
          <cell r="AQ186">
            <v>0.65</v>
          </cell>
          <cell r="AT186">
            <v>70</v>
          </cell>
          <cell r="AU186">
            <v>10</v>
          </cell>
          <cell r="AV186">
            <v>1</v>
          </cell>
          <cell r="BA186">
            <v>1</v>
          </cell>
          <cell r="BZ186">
            <v>70</v>
          </cell>
          <cell r="CA186">
            <v>10</v>
          </cell>
          <cell r="CS186">
            <v>0</v>
          </cell>
          <cell r="DG186" t="str">
            <v>)*4*168</v>
          </cell>
          <cell r="DI186" t="str">
            <v>)*4*168</v>
          </cell>
        </row>
        <row r="187">
          <cell r="F187" t="str">
            <v>5.3-1102-8-3/1</v>
          </cell>
          <cell r="G187" t="str">
            <v>Уборка слежавшегося снега вручную( S=4341,27 м2*0,1*0,7*0,5= м2)</v>
          </cell>
          <cell r="H187" t="str">
            <v>100 м2</v>
          </cell>
          <cell r="I187">
            <v>1.5194000000000001</v>
          </cell>
          <cell r="S187">
            <v>96827.47</v>
          </cell>
          <cell r="U187">
            <v>390.54657600000007</v>
          </cell>
          <cell r="X187">
            <v>67779.23</v>
          </cell>
          <cell r="Y187">
            <v>9682.75</v>
          </cell>
          <cell r="AE187">
            <v>0</v>
          </cell>
          <cell r="AF187">
            <v>63727.44</v>
          </cell>
          <cell r="AO187">
            <v>379.33</v>
          </cell>
          <cell r="AQ187">
            <v>1.53</v>
          </cell>
          <cell r="AT187">
            <v>70</v>
          </cell>
          <cell r="AU187">
            <v>10</v>
          </cell>
          <cell r="AV187">
            <v>1</v>
          </cell>
          <cell r="BA187">
            <v>1</v>
          </cell>
          <cell r="BZ187">
            <v>70</v>
          </cell>
          <cell r="CA187">
            <v>10</v>
          </cell>
          <cell r="CS187">
            <v>0</v>
          </cell>
          <cell r="DG187" t="str">
            <v>)*1*168</v>
          </cell>
          <cell r="DI187" t="str">
            <v>)*1*168</v>
          </cell>
        </row>
        <row r="188">
          <cell r="F188" t="str">
            <v>5.3-1102-8-1/1</v>
          </cell>
          <cell r="G188" t="str">
            <v>Уборка свежевыпавшего снега вручную толщиной слоя до 10 см ( S= 4341,27 м2* 0,1*0,3*0,5 =65,12м2)</v>
          </cell>
          <cell r="H188" t="str">
            <v>100 м2</v>
          </cell>
          <cell r="I188">
            <v>0.6512</v>
          </cell>
          <cell r="S188">
            <v>70520.27</v>
          </cell>
          <cell r="U188">
            <v>284.44416000000001</v>
          </cell>
          <cell r="X188">
            <v>49364.19</v>
          </cell>
          <cell r="Y188">
            <v>7052.03</v>
          </cell>
          <cell r="AE188">
            <v>0</v>
          </cell>
          <cell r="AF188">
            <v>108292.8</v>
          </cell>
          <cell r="AO188">
            <v>161.15</v>
          </cell>
          <cell r="AQ188">
            <v>0.65</v>
          </cell>
          <cell r="AT188">
            <v>70</v>
          </cell>
          <cell r="AU188">
            <v>10</v>
          </cell>
          <cell r="AV188">
            <v>1</v>
          </cell>
          <cell r="BA188">
            <v>1</v>
          </cell>
          <cell r="BZ188">
            <v>70</v>
          </cell>
          <cell r="CA188">
            <v>10</v>
          </cell>
          <cell r="CS188">
            <v>0</v>
          </cell>
          <cell r="DG188" t="str">
            <v>)*4*168</v>
          </cell>
          <cell r="DI188" t="str">
            <v>)*4*168</v>
          </cell>
        </row>
        <row r="189">
          <cell r="F189" t="str">
            <v>5.3-1102-8-2/1</v>
          </cell>
          <cell r="G189" t="str">
            <v>Уборка свежевыпавшего снега вручную, добавлять на каждые следующие 10 см увеличения толщины слоя</v>
          </cell>
          <cell r="H189" t="str">
            <v>100 м2</v>
          </cell>
          <cell r="I189">
            <v>0.6512</v>
          </cell>
          <cell r="S189">
            <v>50994.27</v>
          </cell>
          <cell r="U189">
            <v>205.67500799999999</v>
          </cell>
          <cell r="X189">
            <v>35695.99</v>
          </cell>
          <cell r="Y189">
            <v>5099.43</v>
          </cell>
          <cell r="AE189">
            <v>0</v>
          </cell>
          <cell r="AF189">
            <v>78308.160000000003</v>
          </cell>
          <cell r="AO189">
            <v>116.53</v>
          </cell>
          <cell r="AQ189">
            <v>0.47</v>
          </cell>
          <cell r="AT189">
            <v>70</v>
          </cell>
          <cell r="AU189">
            <v>10</v>
          </cell>
          <cell r="AV189">
            <v>1</v>
          </cell>
          <cell r="BA189">
            <v>1</v>
          </cell>
          <cell r="BZ189">
            <v>70</v>
          </cell>
          <cell r="CA189">
            <v>10</v>
          </cell>
          <cell r="CS189">
            <v>0</v>
          </cell>
          <cell r="DG189" t="str">
            <v>)*4*168</v>
          </cell>
          <cell r="DI189" t="str">
            <v>)*4*168</v>
          </cell>
        </row>
        <row r="190">
          <cell r="F190" t="str">
            <v>5.3-1102-24-1/1</v>
          </cell>
          <cell r="G190" t="str">
            <v>Уборка свежевыпавшего снега ручной самоходной машиной - ширина захвата 120 см( 20% от 4341,27 м2, V= 4341,27 м2 *0,2= 868,25 м2 )</v>
          </cell>
          <cell r="H190" t="str">
            <v>100 м2</v>
          </cell>
          <cell r="I190">
            <v>8.6824999999999992</v>
          </cell>
          <cell r="Q190">
            <v>198202.72</v>
          </cell>
          <cell r="R190">
            <v>525.12</v>
          </cell>
          <cell r="S190">
            <v>566310.16</v>
          </cell>
          <cell r="U190">
            <v>2042.1239999999998</v>
          </cell>
          <cell r="X190">
            <v>396417.11</v>
          </cell>
          <cell r="Y190">
            <v>56631.02</v>
          </cell>
          <cell r="AE190">
            <v>60.48</v>
          </cell>
          <cell r="AF190">
            <v>65224.32</v>
          </cell>
          <cell r="AM190">
            <v>33.97</v>
          </cell>
          <cell r="AN190">
            <v>0.09</v>
          </cell>
          <cell r="AO190">
            <v>97.06</v>
          </cell>
          <cell r="AQ190">
            <v>0.35</v>
          </cell>
          <cell r="AT190">
            <v>70</v>
          </cell>
          <cell r="AU190">
            <v>10</v>
          </cell>
          <cell r="AV190">
            <v>1</v>
          </cell>
          <cell r="BA190">
            <v>1</v>
          </cell>
          <cell r="BB190">
            <v>1</v>
          </cell>
          <cell r="BS190">
            <v>1</v>
          </cell>
          <cell r="BZ190">
            <v>70</v>
          </cell>
          <cell r="CA190">
            <v>10</v>
          </cell>
          <cell r="CS190">
            <v>60.48</v>
          </cell>
          <cell r="DE190" t="str">
            <v>)*4*168</v>
          </cell>
          <cell r="DF190" t="str">
            <v>)*4*168</v>
          </cell>
          <cell r="DG190" t="str">
            <v>)*4*168</v>
          </cell>
          <cell r="DI190" t="str">
            <v>)*4*168</v>
          </cell>
        </row>
        <row r="191">
          <cell r="F191" t="str">
            <v>5.3-1102-9-1/1</v>
          </cell>
          <cell r="G191" t="str">
            <v>Колка льда на обледеневших покрытиях вручную( S=4341,27м2*0,1*0,3*0,5=65,12 м2)</v>
          </cell>
          <cell r="H191" t="str">
            <v>100 м2</v>
          </cell>
          <cell r="I191">
            <v>0.6512</v>
          </cell>
          <cell r="S191">
            <v>130737.1</v>
          </cell>
          <cell r="U191">
            <v>527.31571199999996</v>
          </cell>
          <cell r="X191">
            <v>91515.97</v>
          </cell>
          <cell r="Y191">
            <v>13073.71</v>
          </cell>
          <cell r="AE191">
            <v>0</v>
          </cell>
          <cell r="AF191">
            <v>200763.36</v>
          </cell>
          <cell r="AO191">
            <v>597.51</v>
          </cell>
          <cell r="AQ191">
            <v>2.41</v>
          </cell>
          <cell r="AT191">
            <v>70</v>
          </cell>
          <cell r="AU191">
            <v>10</v>
          </cell>
          <cell r="AV191">
            <v>1</v>
          </cell>
          <cell r="BA191">
            <v>1</v>
          </cell>
          <cell r="BZ191">
            <v>70</v>
          </cell>
          <cell r="CA191">
            <v>10</v>
          </cell>
          <cell r="CS191">
            <v>0</v>
          </cell>
          <cell r="DG191" t="str">
            <v>)*2*168</v>
          </cell>
          <cell r="DI191" t="str">
            <v>)*2*168</v>
          </cell>
        </row>
        <row r="192">
          <cell r="F192" t="str">
            <v>калькуляция</v>
          </cell>
          <cell r="G192" t="str">
            <v>Посыпка  гранитной крошкой дорожных покрытий средствами малой механизации( расход крошки 100 г/м2)</v>
          </cell>
          <cell r="H192" t="str">
            <v>м2</v>
          </cell>
          <cell r="I192">
            <v>3038.89</v>
          </cell>
          <cell r="Q192">
            <v>673904.25</v>
          </cell>
          <cell r="X192">
            <v>0</v>
          </cell>
          <cell r="Y192">
            <v>0</v>
          </cell>
          <cell r="AE192">
            <v>0</v>
          </cell>
          <cell r="AF192">
            <v>0</v>
          </cell>
          <cell r="AM192">
            <v>0.33</v>
          </cell>
          <cell r="AV192">
            <v>1</v>
          </cell>
          <cell r="BB192">
            <v>1</v>
          </cell>
          <cell r="BZ192">
            <v>0</v>
          </cell>
          <cell r="CA192">
            <v>0</v>
          </cell>
          <cell r="CS192">
            <v>0</v>
          </cell>
          <cell r="DE192" t="str">
            <v>)*4*168</v>
          </cell>
        </row>
        <row r="193">
          <cell r="F193" t="str">
            <v>цена поставщика</v>
          </cell>
          <cell r="G193" t="str">
            <v>Крошка гранитная</v>
          </cell>
          <cell r="H193" t="str">
            <v>кг</v>
          </cell>
          <cell r="I193">
            <v>204213.408</v>
          </cell>
          <cell r="O193">
            <v>904665.4</v>
          </cell>
          <cell r="X193">
            <v>0</v>
          </cell>
          <cell r="Y193">
            <v>0</v>
          </cell>
          <cell r="AE193">
            <v>0</v>
          </cell>
          <cell r="AF193">
            <v>0</v>
          </cell>
          <cell r="AK193">
            <v>4.43</v>
          </cell>
          <cell r="AV193">
            <v>1</v>
          </cell>
          <cell r="AW193">
            <v>1</v>
          </cell>
          <cell r="BC193">
            <v>1</v>
          </cell>
          <cell r="BZ193">
            <v>0</v>
          </cell>
          <cell r="CA193">
            <v>0</v>
          </cell>
          <cell r="CS193">
            <v>0</v>
          </cell>
        </row>
        <row r="194">
          <cell r="F194" t="str">
            <v>калькуляция</v>
          </cell>
          <cell r="G194" t="str">
            <v>Посыпка гранитной крошкой дорожных покрытий вручную( 100г/м2 )</v>
          </cell>
          <cell r="H194" t="str">
            <v>м2</v>
          </cell>
          <cell r="I194">
            <v>1302.3800000000001</v>
          </cell>
          <cell r="S194">
            <v>1820414.67</v>
          </cell>
          <cell r="X194">
            <v>0</v>
          </cell>
          <cell r="Y194">
            <v>0</v>
          </cell>
          <cell r="AE194">
            <v>0</v>
          </cell>
          <cell r="AF194">
            <v>1397.76</v>
          </cell>
          <cell r="AO194">
            <v>2.08</v>
          </cell>
          <cell r="AV194">
            <v>1</v>
          </cell>
          <cell r="BA194">
            <v>1</v>
          </cell>
          <cell r="BZ194">
            <v>0</v>
          </cell>
          <cell r="CA194">
            <v>0</v>
          </cell>
          <cell r="CS194">
            <v>0</v>
          </cell>
          <cell r="DG194" t="str">
            <v>)*4*168</v>
          </cell>
        </row>
        <row r="195">
          <cell r="F195" t="str">
            <v>цена поставщика</v>
          </cell>
          <cell r="H195" t="str">
            <v>кг</v>
          </cell>
          <cell r="I195">
            <v>87519.935999999987</v>
          </cell>
          <cell r="O195">
            <v>322948.56</v>
          </cell>
          <cell r="X195">
            <v>0</v>
          </cell>
          <cell r="Y195">
            <v>0</v>
          </cell>
          <cell r="AE195">
            <v>0</v>
          </cell>
          <cell r="AF195">
            <v>0</v>
          </cell>
          <cell r="AK195">
            <v>3.69</v>
          </cell>
          <cell r="AV195">
            <v>1</v>
          </cell>
          <cell r="AW195">
            <v>1</v>
          </cell>
          <cell r="BC195">
            <v>1</v>
          </cell>
          <cell r="BZ195">
            <v>0</v>
          </cell>
          <cell r="CA195">
            <v>0</v>
          </cell>
          <cell r="CS195">
            <v>0</v>
          </cell>
        </row>
        <row r="196">
          <cell r="F196" t="str">
            <v>5.4-1201-1-1/1</v>
          </cell>
          <cell r="G196" t="str">
            <v>Сбор случайного мусора по территории</v>
          </cell>
          <cell r="H196" t="str">
            <v>100 м2</v>
          </cell>
          <cell r="I196">
            <v>43.412700000000001</v>
          </cell>
          <cell r="P196">
            <v>39779.93</v>
          </cell>
          <cell r="S196">
            <v>714885.61</v>
          </cell>
          <cell r="U196">
            <v>2882.6032800000003</v>
          </cell>
          <cell r="X196">
            <v>500419.93</v>
          </cell>
          <cell r="Y196">
            <v>71488.56</v>
          </cell>
          <cell r="AE196">
            <v>0</v>
          </cell>
          <cell r="AF196">
            <v>16467.2</v>
          </cell>
          <cell r="AL196">
            <v>0.69</v>
          </cell>
          <cell r="AO196">
            <v>12.4</v>
          </cell>
          <cell r="AQ196">
            <v>0.05</v>
          </cell>
          <cell r="AT196">
            <v>70</v>
          </cell>
          <cell r="AU196">
            <v>10</v>
          </cell>
          <cell r="AV196">
            <v>1</v>
          </cell>
          <cell r="AW196">
            <v>1</v>
          </cell>
          <cell r="BA196">
            <v>1</v>
          </cell>
          <cell r="BC196">
            <v>1</v>
          </cell>
          <cell r="BZ196">
            <v>70</v>
          </cell>
          <cell r="CA196">
            <v>10</v>
          </cell>
          <cell r="CS196">
            <v>0</v>
          </cell>
          <cell r="DD196" t="str">
            <v>)*4*332</v>
          </cell>
          <cell r="DG196" t="str">
            <v>)*4*332</v>
          </cell>
          <cell r="DI196" t="str">
            <v>)*4*332</v>
          </cell>
        </row>
        <row r="198">
          <cell r="G198" t="str">
            <v>Содержание дорожек с мощением, 100% пешеходным ( S= 4341,27 м2) ( МКЗ ).</v>
          </cell>
        </row>
        <row r="228">
          <cell r="G228" t="str">
            <v>Содержание садово-парковых дорожек с мощением парковым пиксельным ( 50% ) ( S=3440 м2 )</v>
          </cell>
        </row>
        <row r="232">
          <cell r="F232" t="str">
            <v>калькуляция</v>
          </cell>
          <cell r="G232" t="str">
            <v>Подметание дорожек  вручную ( S=3440 м2)</v>
          </cell>
          <cell r="H232" t="str">
            <v>м2</v>
          </cell>
          <cell r="I232">
            <v>3440</v>
          </cell>
          <cell r="S232">
            <v>2978764.7999999998</v>
          </cell>
          <cell r="X232">
            <v>0</v>
          </cell>
          <cell r="Y232">
            <v>0</v>
          </cell>
          <cell r="AE232">
            <v>0</v>
          </cell>
          <cell r="AF232">
            <v>865.92</v>
          </cell>
          <cell r="AO232">
            <v>1.32</v>
          </cell>
          <cell r="AV232">
            <v>1</v>
          </cell>
          <cell r="BA232">
            <v>1</v>
          </cell>
          <cell r="BZ232">
            <v>0</v>
          </cell>
          <cell r="CA232">
            <v>0</v>
          </cell>
          <cell r="CS232">
            <v>0</v>
          </cell>
          <cell r="DG232" t="str">
            <v>)*4*164</v>
          </cell>
        </row>
        <row r="233">
          <cell r="F233" t="str">
            <v>5.3-1102-8-1/1</v>
          </cell>
          <cell r="G233" t="str">
            <v>Уборка свежевыпавшего снега вручную толщиной слоя до 10 см ( S= 3440 м2* 0,8*0,7*0,5 =963,2 м2)</v>
          </cell>
          <cell r="H233" t="str">
            <v>100 м2</v>
          </cell>
          <cell r="I233">
            <v>9.6319999999999997</v>
          </cell>
          <cell r="S233">
            <v>1043076.25</v>
          </cell>
          <cell r="U233">
            <v>4207.2575999999999</v>
          </cell>
          <cell r="X233">
            <v>730153.38</v>
          </cell>
          <cell r="Y233">
            <v>104307.63</v>
          </cell>
          <cell r="AE233">
            <v>0</v>
          </cell>
          <cell r="AF233">
            <v>108292.8</v>
          </cell>
          <cell r="AO233">
            <v>161.15</v>
          </cell>
          <cell r="AQ233">
            <v>0.65</v>
          </cell>
          <cell r="AT233">
            <v>70</v>
          </cell>
          <cell r="AU233">
            <v>10</v>
          </cell>
          <cell r="AV233">
            <v>1</v>
          </cell>
          <cell r="BA233">
            <v>1</v>
          </cell>
          <cell r="BZ233">
            <v>70</v>
          </cell>
          <cell r="CA233">
            <v>10</v>
          </cell>
          <cell r="CS233">
            <v>0</v>
          </cell>
          <cell r="DG233" t="str">
            <v>)*4*168</v>
          </cell>
          <cell r="DI233" t="str">
            <v>)*4*168</v>
          </cell>
        </row>
        <row r="234">
          <cell r="F234" t="str">
            <v>5.3-1102-8-3/1</v>
          </cell>
          <cell r="G234" t="str">
            <v>Уборка слежавшегося снега вручную( S=3440 м2*0,8*0,7*0,5=963,2м2 )</v>
          </cell>
          <cell r="H234" t="str">
            <v>100 м2</v>
          </cell>
          <cell r="I234">
            <v>9.6319999999999997</v>
          </cell>
          <cell r="S234">
            <v>613822.69999999995</v>
          </cell>
          <cell r="U234">
            <v>2475.8092799999999</v>
          </cell>
          <cell r="X234">
            <v>429675.89</v>
          </cell>
          <cell r="Y234">
            <v>61382.27</v>
          </cell>
          <cell r="AE234">
            <v>0</v>
          </cell>
          <cell r="AF234">
            <v>63727.44</v>
          </cell>
          <cell r="AO234">
            <v>379.33</v>
          </cell>
          <cell r="AQ234">
            <v>1.53</v>
          </cell>
          <cell r="AT234">
            <v>70</v>
          </cell>
          <cell r="AU234">
            <v>10</v>
          </cell>
          <cell r="AV234">
            <v>1</v>
          </cell>
          <cell r="BA234">
            <v>1</v>
          </cell>
          <cell r="BZ234">
            <v>70</v>
          </cell>
          <cell r="CA234">
            <v>10</v>
          </cell>
          <cell r="CS234">
            <v>0</v>
          </cell>
          <cell r="DG234" t="str">
            <v>)*1*168</v>
          </cell>
          <cell r="DI234" t="str">
            <v>)*1*168</v>
          </cell>
        </row>
        <row r="235">
          <cell r="F235" t="str">
            <v>5.3-1102-8-1/1</v>
          </cell>
          <cell r="G235" t="str">
            <v>Уборка свежевыпавшего снега вручную толщиной слоя до 10 см ( S= 3440 м2* 0,8*0,3 *0,5=412,8м2)</v>
          </cell>
          <cell r="H235" t="str">
            <v>100 м2</v>
          </cell>
          <cell r="I235">
            <v>4.1280000000000001</v>
          </cell>
          <cell r="S235">
            <v>447032.68</v>
          </cell>
          <cell r="U235">
            <v>1803.1104</v>
          </cell>
          <cell r="X235">
            <v>312922.88</v>
          </cell>
          <cell r="Y235">
            <v>44703.27</v>
          </cell>
          <cell r="AE235">
            <v>0</v>
          </cell>
          <cell r="AF235">
            <v>108292.8</v>
          </cell>
          <cell r="AO235">
            <v>161.15</v>
          </cell>
          <cell r="AQ235">
            <v>0.65</v>
          </cell>
          <cell r="AT235">
            <v>70</v>
          </cell>
          <cell r="AU235">
            <v>10</v>
          </cell>
          <cell r="AV235">
            <v>1</v>
          </cell>
          <cell r="BA235">
            <v>1</v>
          </cell>
          <cell r="BZ235">
            <v>70</v>
          </cell>
          <cell r="CA235">
            <v>10</v>
          </cell>
          <cell r="CS235">
            <v>0</v>
          </cell>
          <cell r="DG235" t="str">
            <v>)*4*168</v>
          </cell>
          <cell r="DI235" t="str">
            <v>)*4*168</v>
          </cell>
        </row>
        <row r="236">
          <cell r="F236" t="str">
            <v>5.3-1102-8-2/1</v>
          </cell>
          <cell r="G236" t="str">
            <v>Уборка свежевыпавшего снега вручную, добавлять на каждые следующие 10 см увеличения толщины слоя</v>
          </cell>
          <cell r="H236" t="str">
            <v>100 м2</v>
          </cell>
          <cell r="I236">
            <v>4.1280000000000001</v>
          </cell>
          <cell r="S236">
            <v>323256.08</v>
          </cell>
          <cell r="U236">
            <v>1303.7875199999999</v>
          </cell>
          <cell r="X236">
            <v>226279.26</v>
          </cell>
          <cell r="Y236">
            <v>32325.61</v>
          </cell>
          <cell r="AE236">
            <v>0</v>
          </cell>
          <cell r="AF236">
            <v>78308.160000000003</v>
          </cell>
          <cell r="AO236">
            <v>116.53</v>
          </cell>
          <cell r="AQ236">
            <v>0.47</v>
          </cell>
          <cell r="AT236">
            <v>70</v>
          </cell>
          <cell r="AU236">
            <v>10</v>
          </cell>
          <cell r="AV236">
            <v>1</v>
          </cell>
          <cell r="BA236">
            <v>1</v>
          </cell>
          <cell r="BZ236">
            <v>70</v>
          </cell>
          <cell r="CA236">
            <v>10</v>
          </cell>
          <cell r="CS236">
            <v>0</v>
          </cell>
          <cell r="DG236" t="str">
            <v>)*4*168</v>
          </cell>
          <cell r="DI236" t="str">
            <v>)*4*168</v>
          </cell>
        </row>
        <row r="237">
          <cell r="F237" t="str">
            <v>5.3-1102-24-1/1</v>
          </cell>
          <cell r="G237" t="str">
            <v>Уборка свежевыпавшего снега ручной самоходной машиной - ширина захвата 120 см ( S= 3440 м2*0,2=688 м2 )</v>
          </cell>
          <cell r="H237" t="str">
            <v>100 м2</v>
          </cell>
          <cell r="I237">
            <v>6.88</v>
          </cell>
          <cell r="Q237">
            <v>157055.54</v>
          </cell>
          <cell r="R237">
            <v>416.1</v>
          </cell>
          <cell r="S237">
            <v>448743.32</v>
          </cell>
          <cell r="U237">
            <v>1618.1759999999999</v>
          </cell>
          <cell r="X237">
            <v>314120.32000000001</v>
          </cell>
          <cell r="Y237">
            <v>44874.33</v>
          </cell>
          <cell r="AE237">
            <v>60.48</v>
          </cell>
          <cell r="AF237">
            <v>65224.32</v>
          </cell>
          <cell r="AM237">
            <v>33.97</v>
          </cell>
          <cell r="AN237">
            <v>0.09</v>
          </cell>
          <cell r="AO237">
            <v>97.06</v>
          </cell>
          <cell r="AQ237">
            <v>0.35</v>
          </cell>
          <cell r="AT237">
            <v>70</v>
          </cell>
          <cell r="AU237">
            <v>10</v>
          </cell>
          <cell r="AV237">
            <v>1</v>
          </cell>
          <cell r="BA237">
            <v>1</v>
          </cell>
          <cell r="BB237">
            <v>1</v>
          </cell>
          <cell r="BS237">
            <v>1</v>
          </cell>
          <cell r="BZ237">
            <v>70</v>
          </cell>
          <cell r="CA237">
            <v>10</v>
          </cell>
          <cell r="CS237">
            <v>60.48</v>
          </cell>
          <cell r="DE237" t="str">
            <v>)*4*168</v>
          </cell>
          <cell r="DF237" t="str">
            <v>)*4*168</v>
          </cell>
          <cell r="DG237" t="str">
            <v>)*4*168</v>
          </cell>
          <cell r="DI237" t="str">
            <v>)*4*168</v>
          </cell>
        </row>
        <row r="238">
          <cell r="F238" t="str">
            <v>5.3-1102-9-1/1</v>
          </cell>
          <cell r="G238" t="str">
            <v>Колка льда на обледеневших покрытиях вручную ( S=3440 м2*0,8*0,3*0,5=412,8 м2)</v>
          </cell>
          <cell r="H238" t="str">
            <v>100 м2</v>
          </cell>
          <cell r="I238">
            <v>4.1280000000000001</v>
          </cell>
          <cell r="S238">
            <v>828751.15</v>
          </cell>
          <cell r="U238">
            <v>3342.6892800000001</v>
          </cell>
          <cell r="X238">
            <v>580125.81000000006</v>
          </cell>
          <cell r="Y238">
            <v>82875.12</v>
          </cell>
          <cell r="AE238">
            <v>0</v>
          </cell>
          <cell r="AF238">
            <v>200763.36</v>
          </cell>
          <cell r="AO238">
            <v>597.51</v>
          </cell>
          <cell r="AQ238">
            <v>2.41</v>
          </cell>
          <cell r="AT238">
            <v>70</v>
          </cell>
          <cell r="AU238">
            <v>10</v>
          </cell>
          <cell r="AV238">
            <v>1</v>
          </cell>
          <cell r="BA238">
            <v>1</v>
          </cell>
          <cell r="BZ238">
            <v>70</v>
          </cell>
          <cell r="CA238">
            <v>10</v>
          </cell>
          <cell r="CS238">
            <v>0</v>
          </cell>
          <cell r="DG238" t="str">
            <v>)*2*168</v>
          </cell>
          <cell r="DI238" t="str">
            <v>)*2*168</v>
          </cell>
        </row>
        <row r="239">
          <cell r="F239" t="str">
            <v>калькуляция</v>
          </cell>
          <cell r="G239" t="str">
            <v>Посыпка  гранитной крошкой дорожных покрытий вручную( 100г/м2 )</v>
          </cell>
          <cell r="H239" t="str">
            <v>м2</v>
          </cell>
          <cell r="I239">
            <v>3440</v>
          </cell>
          <cell r="S239">
            <v>4808294.4000000004</v>
          </cell>
          <cell r="X239">
            <v>0</v>
          </cell>
          <cell r="Y239">
            <v>0</v>
          </cell>
          <cell r="AE239">
            <v>0</v>
          </cell>
          <cell r="AF239">
            <v>1397.76</v>
          </cell>
          <cell r="AO239">
            <v>2.08</v>
          </cell>
          <cell r="AV239">
            <v>1</v>
          </cell>
          <cell r="BA239">
            <v>1</v>
          </cell>
          <cell r="BZ239">
            <v>0</v>
          </cell>
          <cell r="CA239">
            <v>0</v>
          </cell>
          <cell r="CS239">
            <v>0</v>
          </cell>
          <cell r="DG239" t="str">
            <v>)*4*168</v>
          </cell>
        </row>
        <row r="240">
          <cell r="F240" t="str">
            <v>цена поставщика</v>
          </cell>
          <cell r="G240" t="str">
            <v>Крошка гранитная</v>
          </cell>
          <cell r="H240" t="str">
            <v>кг</v>
          </cell>
          <cell r="I240">
            <v>231168</v>
          </cell>
          <cell r="O240">
            <v>1024074.24</v>
          </cell>
          <cell r="X240">
            <v>0</v>
          </cell>
          <cell r="Y240">
            <v>0</v>
          </cell>
          <cell r="AE240">
            <v>0</v>
          </cell>
          <cell r="AF240">
            <v>0</v>
          </cell>
          <cell r="AK240">
            <v>4.43</v>
          </cell>
          <cell r="AV240">
            <v>1</v>
          </cell>
          <cell r="AW240">
            <v>1</v>
          </cell>
          <cell r="BC240">
            <v>1</v>
          </cell>
          <cell r="BZ240">
            <v>0</v>
          </cell>
          <cell r="CA240">
            <v>0</v>
          </cell>
          <cell r="CS240">
            <v>0</v>
          </cell>
        </row>
        <row r="241">
          <cell r="F241" t="str">
            <v>5.4-1201-1-1/1</v>
          </cell>
          <cell r="G241" t="str">
            <v>Сбор случайного мусора по территории</v>
          </cell>
          <cell r="H241" t="str">
            <v>100 м2</v>
          </cell>
          <cell r="I241">
            <v>34.4</v>
          </cell>
          <cell r="P241">
            <v>31521.41</v>
          </cell>
          <cell r="S241">
            <v>566471.68000000005</v>
          </cell>
          <cell r="U241">
            <v>2284.1600000000003</v>
          </cell>
          <cell r="X241">
            <v>396530.18</v>
          </cell>
          <cell r="Y241">
            <v>56647.17</v>
          </cell>
          <cell r="AE241">
            <v>0</v>
          </cell>
          <cell r="AF241">
            <v>16467.2</v>
          </cell>
          <cell r="AL241">
            <v>0.69</v>
          </cell>
          <cell r="AO241">
            <v>12.4</v>
          </cell>
          <cell r="AQ241">
            <v>0.05</v>
          </cell>
          <cell r="AT241">
            <v>70</v>
          </cell>
          <cell r="AU241">
            <v>10</v>
          </cell>
          <cell r="AV241">
            <v>1</v>
          </cell>
          <cell r="AW241">
            <v>1</v>
          </cell>
          <cell r="BA241">
            <v>1</v>
          </cell>
          <cell r="BC241">
            <v>1</v>
          </cell>
          <cell r="BZ241">
            <v>70</v>
          </cell>
          <cell r="CA241">
            <v>10</v>
          </cell>
          <cell r="CS241">
            <v>0</v>
          </cell>
          <cell r="DD241" t="str">
            <v>)*4*332</v>
          </cell>
          <cell r="DG241" t="str">
            <v>)*4*332</v>
          </cell>
          <cell r="DI241" t="str">
            <v>)*4*332</v>
          </cell>
        </row>
        <row r="243">
          <cell r="G243" t="str">
            <v>Содержание садово-парковых дорожек с мощением парковым пиксельным ( 50% ) ( S=3440 м2 )</v>
          </cell>
        </row>
        <row r="273">
          <cell r="G273" t="str">
            <v>Содержание дорожек с мощением 50% пешеходным ( S= 200 м2 ( МКЗ ).</v>
          </cell>
        </row>
        <row r="277">
          <cell r="F277" t="str">
            <v>калькуляция</v>
          </cell>
          <cell r="G277" t="str">
            <v>Подметание дорожек  вручную ( S=200 м2)</v>
          </cell>
          <cell r="H277" t="str">
            <v>м2</v>
          </cell>
          <cell r="I277">
            <v>200</v>
          </cell>
          <cell r="S277">
            <v>173184</v>
          </cell>
          <cell r="X277">
            <v>0</v>
          </cell>
          <cell r="Y277">
            <v>0</v>
          </cell>
          <cell r="AE277">
            <v>0</v>
          </cell>
          <cell r="AF277">
            <v>865.92</v>
          </cell>
          <cell r="AO277">
            <v>1.32</v>
          </cell>
          <cell r="AV277">
            <v>1</v>
          </cell>
          <cell r="BA277">
            <v>1</v>
          </cell>
          <cell r="BZ277">
            <v>0</v>
          </cell>
          <cell r="CA277">
            <v>0</v>
          </cell>
          <cell r="CS277">
            <v>0</v>
          </cell>
          <cell r="DG277" t="str">
            <v>)*4*164</v>
          </cell>
        </row>
        <row r="278">
          <cell r="F278" t="str">
            <v>5.3-1102-8-1/1</v>
          </cell>
          <cell r="G278" t="str">
            <v>Уборка свежевыпавшего снега вручную толщиной слоя до 10 см ( S= 200 м2* 0,8*0,7*0,5 =56 м2)</v>
          </cell>
          <cell r="H278" t="str">
            <v>100 м2</v>
          </cell>
          <cell r="I278">
            <v>0.56000000000000005</v>
          </cell>
          <cell r="S278">
            <v>60643.97</v>
          </cell>
          <cell r="U278">
            <v>244.60800000000003</v>
          </cell>
          <cell r="X278">
            <v>42450.78</v>
          </cell>
          <cell r="Y278">
            <v>6064.4</v>
          </cell>
          <cell r="AE278">
            <v>0</v>
          </cell>
          <cell r="AF278">
            <v>108292.8</v>
          </cell>
          <cell r="AO278">
            <v>161.15</v>
          </cell>
          <cell r="AQ278">
            <v>0.65</v>
          </cell>
          <cell r="AT278">
            <v>70</v>
          </cell>
          <cell r="AU278">
            <v>10</v>
          </cell>
          <cell r="AV278">
            <v>1</v>
          </cell>
          <cell r="BA278">
            <v>1</v>
          </cell>
          <cell r="BZ278">
            <v>70</v>
          </cell>
          <cell r="CA278">
            <v>10</v>
          </cell>
          <cell r="CS278">
            <v>0</v>
          </cell>
          <cell r="DG278" t="str">
            <v>)*4*168</v>
          </cell>
          <cell r="DI278" t="str">
            <v>)*4*168</v>
          </cell>
        </row>
        <row r="279">
          <cell r="F279" t="str">
            <v>5.3-1102-8-3/1</v>
          </cell>
          <cell r="G279" t="str">
            <v>Уборка слежавшегося снега вручную( S=200 м2*0,8*0,7*0,5=0.56м2 )</v>
          </cell>
          <cell r="H279" t="str">
            <v>100 м2</v>
          </cell>
          <cell r="I279">
            <v>0.56000000000000005</v>
          </cell>
          <cell r="S279">
            <v>35687.370000000003</v>
          </cell>
          <cell r="U279">
            <v>143.94240000000002</v>
          </cell>
          <cell r="X279">
            <v>24981.16</v>
          </cell>
          <cell r="Y279">
            <v>3568.74</v>
          </cell>
          <cell r="AE279">
            <v>0</v>
          </cell>
          <cell r="AF279">
            <v>63727.44</v>
          </cell>
          <cell r="AO279">
            <v>379.33</v>
          </cell>
          <cell r="AQ279">
            <v>1.53</v>
          </cell>
          <cell r="AT279">
            <v>70</v>
          </cell>
          <cell r="AU279">
            <v>10</v>
          </cell>
          <cell r="AV279">
            <v>1</v>
          </cell>
          <cell r="BA279">
            <v>1</v>
          </cell>
          <cell r="BZ279">
            <v>70</v>
          </cell>
          <cell r="CA279">
            <v>10</v>
          </cell>
          <cell r="CS279">
            <v>0</v>
          </cell>
          <cell r="DG279" t="str">
            <v>)*1*168</v>
          </cell>
          <cell r="DI279" t="str">
            <v>)*1*168</v>
          </cell>
        </row>
        <row r="280">
          <cell r="F280" t="str">
            <v>5.3-1102-8-1/1</v>
          </cell>
          <cell r="G280" t="str">
            <v>Уборка свежевыпавшего снега вручную толщиной слоя до 10 см ( S= 200 м2* 0,8*0,3*0,5=24 м2)</v>
          </cell>
          <cell r="H280" t="str">
            <v>100 м2</v>
          </cell>
          <cell r="I280">
            <v>0.24</v>
          </cell>
          <cell r="S280">
            <v>25990.27</v>
          </cell>
          <cell r="U280">
            <v>104.83199999999999</v>
          </cell>
          <cell r="X280">
            <v>18193.189999999999</v>
          </cell>
          <cell r="Y280">
            <v>2599.0300000000002</v>
          </cell>
          <cell r="AE280">
            <v>0</v>
          </cell>
          <cell r="AF280">
            <v>108292.8</v>
          </cell>
          <cell r="AO280">
            <v>161.15</v>
          </cell>
          <cell r="AQ280">
            <v>0.65</v>
          </cell>
          <cell r="AT280">
            <v>70</v>
          </cell>
          <cell r="AU280">
            <v>10</v>
          </cell>
          <cell r="AV280">
            <v>1</v>
          </cell>
          <cell r="BA280">
            <v>1</v>
          </cell>
          <cell r="BZ280">
            <v>70</v>
          </cell>
          <cell r="CA280">
            <v>10</v>
          </cell>
          <cell r="CS280">
            <v>0</v>
          </cell>
          <cell r="DG280" t="str">
            <v>)*4*168</v>
          </cell>
          <cell r="DI280" t="str">
            <v>)*4*168</v>
          </cell>
        </row>
        <row r="281">
          <cell r="F281" t="str">
            <v>5.3-1102-8-2/1</v>
          </cell>
          <cell r="G281" t="str">
            <v>Уборка свежевыпавшего снега вручную, добавлять на каждые следующие 10 см увеличения толщины слоя</v>
          </cell>
          <cell r="H281" t="str">
            <v>100 м2</v>
          </cell>
          <cell r="I281">
            <v>0.24</v>
          </cell>
          <cell r="S281">
            <v>18793.96</v>
          </cell>
          <cell r="U281">
            <v>75.801599999999993</v>
          </cell>
          <cell r="X281">
            <v>13155.77</v>
          </cell>
          <cell r="Y281">
            <v>1879.4</v>
          </cell>
          <cell r="AE281">
            <v>0</v>
          </cell>
          <cell r="AF281">
            <v>78308.160000000003</v>
          </cell>
          <cell r="AO281">
            <v>116.53</v>
          </cell>
          <cell r="AQ281">
            <v>0.47</v>
          </cell>
          <cell r="AT281">
            <v>70</v>
          </cell>
          <cell r="AU281">
            <v>10</v>
          </cell>
          <cell r="AV281">
            <v>1</v>
          </cell>
          <cell r="BA281">
            <v>1</v>
          </cell>
          <cell r="BZ281">
            <v>70</v>
          </cell>
          <cell r="CA281">
            <v>10</v>
          </cell>
          <cell r="CS281">
            <v>0</v>
          </cell>
          <cell r="DG281" t="str">
            <v>)*4*168</v>
          </cell>
          <cell r="DI281" t="str">
            <v>)*4*168</v>
          </cell>
        </row>
        <row r="282">
          <cell r="F282" t="str">
            <v>5.3-1102-24-1/1</v>
          </cell>
          <cell r="G282" t="str">
            <v>Уборка свежевыпавшего снега ручной самоходной машиной - ширина захвата 120 см ( S= 200 м2*0,2=40 м2 )</v>
          </cell>
          <cell r="H282" t="str">
            <v>100 м2</v>
          </cell>
          <cell r="I282">
            <v>0.4</v>
          </cell>
          <cell r="Q282">
            <v>9131.14</v>
          </cell>
          <cell r="R282">
            <v>24.19</v>
          </cell>
          <cell r="S282">
            <v>26089.73</v>
          </cell>
          <cell r="U282">
            <v>94.08</v>
          </cell>
          <cell r="X282">
            <v>18262.810000000001</v>
          </cell>
          <cell r="Y282">
            <v>2608.9699999999998</v>
          </cell>
          <cell r="AE282">
            <v>60.48</v>
          </cell>
          <cell r="AF282">
            <v>65224.32</v>
          </cell>
          <cell r="AM282">
            <v>33.97</v>
          </cell>
          <cell r="AN282">
            <v>0.09</v>
          </cell>
          <cell r="AO282">
            <v>97.06</v>
          </cell>
          <cell r="AQ282">
            <v>0.35</v>
          </cell>
          <cell r="AT282">
            <v>70</v>
          </cell>
          <cell r="AU282">
            <v>10</v>
          </cell>
          <cell r="AV282">
            <v>1</v>
          </cell>
          <cell r="BA282">
            <v>1</v>
          </cell>
          <cell r="BB282">
            <v>1</v>
          </cell>
          <cell r="BS282">
            <v>1</v>
          </cell>
          <cell r="BZ282">
            <v>70</v>
          </cell>
          <cell r="CA282">
            <v>10</v>
          </cell>
          <cell r="CS282">
            <v>60.48</v>
          </cell>
          <cell r="DE282" t="str">
            <v>)*4*168</v>
          </cell>
          <cell r="DF282" t="str">
            <v>)*4*168</v>
          </cell>
          <cell r="DG282" t="str">
            <v>)*4*168</v>
          </cell>
          <cell r="DI282" t="str">
            <v>)*4*168</v>
          </cell>
        </row>
        <row r="283">
          <cell r="F283" t="str">
            <v>5.3-1102-9-1/1</v>
          </cell>
          <cell r="G283" t="str">
            <v>Колка льда на обледеневших покрытиях вручную ( S=200 м2*0,8*0,3*0,5=24 м2)</v>
          </cell>
          <cell r="H283" t="str">
            <v>100 м2</v>
          </cell>
          <cell r="I283">
            <v>0.24</v>
          </cell>
          <cell r="S283">
            <v>48183.21</v>
          </cell>
          <cell r="U283">
            <v>194.3424</v>
          </cell>
          <cell r="X283">
            <v>33728.25</v>
          </cell>
          <cell r="Y283">
            <v>4818.32</v>
          </cell>
          <cell r="AE283">
            <v>0</v>
          </cell>
          <cell r="AF283">
            <v>200763.36</v>
          </cell>
          <cell r="AO283">
            <v>597.51</v>
          </cell>
          <cell r="AQ283">
            <v>2.41</v>
          </cell>
          <cell r="AT283">
            <v>70</v>
          </cell>
          <cell r="AU283">
            <v>10</v>
          </cell>
          <cell r="AV283">
            <v>1</v>
          </cell>
          <cell r="BA283">
            <v>1</v>
          </cell>
          <cell r="BZ283">
            <v>70</v>
          </cell>
          <cell r="CA283">
            <v>10</v>
          </cell>
          <cell r="CS283">
            <v>0</v>
          </cell>
          <cell r="DG283" t="str">
            <v>)*2*168</v>
          </cell>
          <cell r="DI283" t="str">
            <v>)*2*168</v>
          </cell>
        </row>
        <row r="284">
          <cell r="F284" t="str">
            <v>калькуляция</v>
          </cell>
          <cell r="G284" t="str">
            <v>Посыпка гранитной крошкой  дорожных покрытий вручную( 100г/м2 )</v>
          </cell>
          <cell r="H284" t="str">
            <v>м2</v>
          </cell>
          <cell r="I284">
            <v>200</v>
          </cell>
          <cell r="S284">
            <v>279552</v>
          </cell>
          <cell r="X284">
            <v>0</v>
          </cell>
          <cell r="Y284">
            <v>0</v>
          </cell>
          <cell r="AE284">
            <v>0</v>
          </cell>
          <cell r="AF284">
            <v>1397.76</v>
          </cell>
          <cell r="AO284">
            <v>2.08</v>
          </cell>
          <cell r="AV284">
            <v>1</v>
          </cell>
          <cell r="BA284">
            <v>1</v>
          </cell>
          <cell r="BZ284">
            <v>0</v>
          </cell>
          <cell r="CA284">
            <v>0</v>
          </cell>
          <cell r="CS284">
            <v>0</v>
          </cell>
          <cell r="DG284" t="str">
            <v>)*4*168</v>
          </cell>
        </row>
        <row r="285">
          <cell r="F285" t="str">
            <v>цена поставщика</v>
          </cell>
          <cell r="G285" t="str">
            <v>Крошка гранитная</v>
          </cell>
          <cell r="H285" t="str">
            <v>кг</v>
          </cell>
          <cell r="I285">
            <v>13440</v>
          </cell>
          <cell r="O285">
            <v>59539.199999999997</v>
          </cell>
          <cell r="X285">
            <v>0</v>
          </cell>
          <cell r="Y285">
            <v>0</v>
          </cell>
          <cell r="AE285">
            <v>0</v>
          </cell>
          <cell r="AF285">
            <v>0</v>
          </cell>
          <cell r="AK285">
            <v>4.43</v>
          </cell>
          <cell r="AV285">
            <v>1</v>
          </cell>
          <cell r="AW285">
            <v>1</v>
          </cell>
          <cell r="BC285">
            <v>1</v>
          </cell>
          <cell r="BZ285">
            <v>0</v>
          </cell>
          <cell r="CA285">
            <v>0</v>
          </cell>
          <cell r="CS285">
            <v>0</v>
          </cell>
        </row>
        <row r="286">
          <cell r="F286" t="str">
            <v>5.4-1201-1-1/1</v>
          </cell>
          <cell r="G286" t="str">
            <v>Сбор случайного мусора по территории</v>
          </cell>
          <cell r="H286" t="str">
            <v>100 м2</v>
          </cell>
          <cell r="I286">
            <v>2</v>
          </cell>
          <cell r="P286">
            <v>1832.64</v>
          </cell>
          <cell r="S286">
            <v>32934.400000000001</v>
          </cell>
          <cell r="U286">
            <v>132.80000000000001</v>
          </cell>
          <cell r="X286">
            <v>23054.080000000002</v>
          </cell>
          <cell r="Y286">
            <v>3293.44</v>
          </cell>
          <cell r="AE286">
            <v>0</v>
          </cell>
          <cell r="AF286">
            <v>16467.2</v>
          </cell>
          <cell r="AL286">
            <v>0.69</v>
          </cell>
          <cell r="AO286">
            <v>12.4</v>
          </cell>
          <cell r="AQ286">
            <v>0.05</v>
          </cell>
          <cell r="AT286">
            <v>70</v>
          </cell>
          <cell r="AU286">
            <v>10</v>
          </cell>
          <cell r="AV286">
            <v>1</v>
          </cell>
          <cell r="AW286">
            <v>1</v>
          </cell>
          <cell r="BA286">
            <v>1</v>
          </cell>
          <cell r="BC286">
            <v>1</v>
          </cell>
          <cell r="BZ286">
            <v>70</v>
          </cell>
          <cell r="CA286">
            <v>10</v>
          </cell>
          <cell r="CS286">
            <v>0</v>
          </cell>
          <cell r="DD286" t="str">
            <v>)*4*332</v>
          </cell>
          <cell r="DG286" t="str">
            <v>)*4*332</v>
          </cell>
          <cell r="DI286" t="str">
            <v>)*4*332</v>
          </cell>
        </row>
        <row r="288">
          <cell r="G288" t="str">
            <v>Содержание дорожек с мощением 50% пешеходным ( S= 200 м2 ( МКЗ ).</v>
          </cell>
        </row>
        <row r="318">
          <cell r="G318" t="str">
            <v>Содержание садово-парковых дорожных покрытий с мощением парковым, пешеходным с разным уровнем уклона поверхности ( S=1040 м2 ) .</v>
          </cell>
        </row>
        <row r="322">
          <cell r="F322" t="str">
            <v>калькуляция</v>
          </cell>
          <cell r="G322" t="str">
            <v>Подметание дорожек  вручную ( S=1040 м2)</v>
          </cell>
          <cell r="H322" t="str">
            <v>м2</v>
          </cell>
          <cell r="I322">
            <v>1040</v>
          </cell>
          <cell r="S322">
            <v>900556.80000000005</v>
          </cell>
          <cell r="X322">
            <v>0</v>
          </cell>
          <cell r="Y322">
            <v>0</v>
          </cell>
          <cell r="AE322">
            <v>0</v>
          </cell>
          <cell r="AF322">
            <v>865.92</v>
          </cell>
          <cell r="AO322">
            <v>1.32</v>
          </cell>
          <cell r="AV322">
            <v>1</v>
          </cell>
          <cell r="BA322">
            <v>1</v>
          </cell>
          <cell r="BZ322">
            <v>0</v>
          </cell>
          <cell r="CA322">
            <v>0</v>
          </cell>
          <cell r="CS322">
            <v>0</v>
          </cell>
          <cell r="DG322" t="str">
            <v>)*4*164</v>
          </cell>
        </row>
        <row r="323">
          <cell r="F323" t="str">
            <v>5.3-1102-8-1/1</v>
          </cell>
          <cell r="G323" t="str">
            <v>Уборка свежевыпавшего снега вручную толщиной слоя до 10 см ( S= 1040 м2* 0,8 *0,7*0,5=291,2 м2)</v>
          </cell>
          <cell r="H323" t="str">
            <v>100 м2</v>
          </cell>
          <cell r="I323">
            <v>2.9119999999999999</v>
          </cell>
          <cell r="S323">
            <v>315348.63</v>
          </cell>
          <cell r="U323">
            <v>1271.9616000000001</v>
          </cell>
          <cell r="X323">
            <v>220744.04</v>
          </cell>
          <cell r="Y323">
            <v>31534.86</v>
          </cell>
          <cell r="AE323">
            <v>0</v>
          </cell>
          <cell r="AF323">
            <v>108292.8</v>
          </cell>
          <cell r="AO323">
            <v>161.15</v>
          </cell>
          <cell r="AQ323">
            <v>0.65</v>
          </cell>
          <cell r="AT323">
            <v>70</v>
          </cell>
          <cell r="AU323">
            <v>10</v>
          </cell>
          <cell r="AV323">
            <v>1</v>
          </cell>
          <cell r="BA323">
            <v>1</v>
          </cell>
          <cell r="BZ323">
            <v>70</v>
          </cell>
          <cell r="CA323">
            <v>10</v>
          </cell>
          <cell r="CS323">
            <v>0</v>
          </cell>
          <cell r="DG323" t="str">
            <v>)*4*168</v>
          </cell>
          <cell r="DI323" t="str">
            <v>)*4*168</v>
          </cell>
        </row>
        <row r="324">
          <cell r="F324" t="str">
            <v>5.3-1102-8-3/1</v>
          </cell>
          <cell r="G324" t="str">
            <v>Уборка слежавшегося снега вручную( S=1040 м2*0,8*0,7*0,5=291,2м2 )</v>
          </cell>
          <cell r="H324" t="str">
            <v>100 м2</v>
          </cell>
          <cell r="I324">
            <v>2.9119999999999999</v>
          </cell>
          <cell r="S324">
            <v>185574.31</v>
          </cell>
          <cell r="U324">
            <v>748.50048000000004</v>
          </cell>
          <cell r="X324">
            <v>129902.02</v>
          </cell>
          <cell r="Y324">
            <v>18557.43</v>
          </cell>
          <cell r="AE324">
            <v>0</v>
          </cell>
          <cell r="AF324">
            <v>63727.44</v>
          </cell>
          <cell r="AO324">
            <v>379.33</v>
          </cell>
          <cell r="AQ324">
            <v>1.53</v>
          </cell>
          <cell r="AT324">
            <v>70</v>
          </cell>
          <cell r="AU324">
            <v>10</v>
          </cell>
          <cell r="AV324">
            <v>1</v>
          </cell>
          <cell r="BA324">
            <v>1</v>
          </cell>
          <cell r="BZ324">
            <v>70</v>
          </cell>
          <cell r="CA324">
            <v>10</v>
          </cell>
          <cell r="CS324">
            <v>0</v>
          </cell>
          <cell r="DG324" t="str">
            <v>)*1*168</v>
          </cell>
          <cell r="DI324" t="str">
            <v>)*1*168</v>
          </cell>
        </row>
        <row r="325">
          <cell r="F325" t="str">
            <v>5.3-1102-8-1/1</v>
          </cell>
          <cell r="G325" t="str">
            <v>Уборка свежевыпавшего снега вручную толщиной слоя до 10 см ( S= 1040 м2* 0,8 *0,3*0,5= 124,8 м2)</v>
          </cell>
          <cell r="H325" t="str">
            <v>100 м2</v>
          </cell>
          <cell r="I325">
            <v>1.248</v>
          </cell>
          <cell r="S325">
            <v>135149.41</v>
          </cell>
          <cell r="U325">
            <v>545.12639999999999</v>
          </cell>
          <cell r="X325">
            <v>94604.59</v>
          </cell>
          <cell r="Y325">
            <v>13514.94</v>
          </cell>
          <cell r="AE325">
            <v>0</v>
          </cell>
          <cell r="AF325">
            <v>108292.8</v>
          </cell>
          <cell r="AO325">
            <v>161.15</v>
          </cell>
          <cell r="AQ325">
            <v>0.65</v>
          </cell>
          <cell r="AT325">
            <v>70</v>
          </cell>
          <cell r="AU325">
            <v>10</v>
          </cell>
          <cell r="AV325">
            <v>1</v>
          </cell>
          <cell r="BA325">
            <v>1</v>
          </cell>
          <cell r="BZ325">
            <v>70</v>
          </cell>
          <cell r="CA325">
            <v>10</v>
          </cell>
          <cell r="CS325">
            <v>0</v>
          </cell>
          <cell r="DG325" t="str">
            <v>)*4*168</v>
          </cell>
          <cell r="DI325" t="str">
            <v>)*4*168</v>
          </cell>
        </row>
        <row r="326">
          <cell r="F326" t="str">
            <v>5.3-1102-8-2/1</v>
          </cell>
          <cell r="G326" t="str">
            <v>Уборка свежевыпавшего снега вручную, добавлять на каждые следующие 10 см увеличения толщины слоя</v>
          </cell>
          <cell r="H326" t="str">
            <v>100 м2</v>
          </cell>
          <cell r="I326">
            <v>1.248</v>
          </cell>
          <cell r="S326">
            <v>97728.58</v>
          </cell>
          <cell r="U326">
            <v>394.16831999999999</v>
          </cell>
          <cell r="X326">
            <v>68410.009999999995</v>
          </cell>
          <cell r="Y326">
            <v>9772.86</v>
          </cell>
          <cell r="AE326">
            <v>0</v>
          </cell>
          <cell r="AF326">
            <v>78308.160000000003</v>
          </cell>
          <cell r="AO326">
            <v>116.53</v>
          </cell>
          <cell r="AQ326">
            <v>0.47</v>
          </cell>
          <cell r="AT326">
            <v>70</v>
          </cell>
          <cell r="AU326">
            <v>10</v>
          </cell>
          <cell r="AV326">
            <v>1</v>
          </cell>
          <cell r="BA326">
            <v>1</v>
          </cell>
          <cell r="BZ326">
            <v>70</v>
          </cell>
          <cell r="CA326">
            <v>10</v>
          </cell>
          <cell r="CS326">
            <v>0</v>
          </cell>
          <cell r="DG326" t="str">
            <v>)*4*168</v>
          </cell>
          <cell r="DI326" t="str">
            <v>)*4*168</v>
          </cell>
        </row>
        <row r="327">
          <cell r="F327" t="str">
            <v>5.3-1102-24-1/1</v>
          </cell>
          <cell r="G327" t="str">
            <v>Уборка свежевыпавшего снега ручной самоходной машиной - ширина захвата 120 см ( S= 1040 м2*0,2=208 м2 )</v>
          </cell>
          <cell r="H327" t="str">
            <v>100 м2</v>
          </cell>
          <cell r="I327">
            <v>2.08</v>
          </cell>
          <cell r="Q327">
            <v>47481.91</v>
          </cell>
          <cell r="R327">
            <v>125.8</v>
          </cell>
          <cell r="S327">
            <v>135666.59</v>
          </cell>
          <cell r="U327">
            <v>489.21600000000001</v>
          </cell>
          <cell r="X327">
            <v>94966.61</v>
          </cell>
          <cell r="Y327">
            <v>13566.66</v>
          </cell>
          <cell r="AE327">
            <v>60.48</v>
          </cell>
          <cell r="AF327">
            <v>65224.32</v>
          </cell>
          <cell r="AM327">
            <v>33.97</v>
          </cell>
          <cell r="AN327">
            <v>0.09</v>
          </cell>
          <cell r="AO327">
            <v>97.06</v>
          </cell>
          <cell r="AQ327">
            <v>0.35</v>
          </cell>
          <cell r="AT327">
            <v>70</v>
          </cell>
          <cell r="AU327">
            <v>10</v>
          </cell>
          <cell r="AV327">
            <v>1</v>
          </cell>
          <cell r="BA327">
            <v>1</v>
          </cell>
          <cell r="BB327">
            <v>1</v>
          </cell>
          <cell r="BS327">
            <v>1</v>
          </cell>
          <cell r="BZ327">
            <v>70</v>
          </cell>
          <cell r="CA327">
            <v>10</v>
          </cell>
          <cell r="CS327">
            <v>60.48</v>
          </cell>
          <cell r="DE327" t="str">
            <v>)*4*168</v>
          </cell>
          <cell r="DF327" t="str">
            <v>)*4*168</v>
          </cell>
          <cell r="DG327" t="str">
            <v>)*4*168</v>
          </cell>
          <cell r="DI327" t="str">
            <v>)*4*168</v>
          </cell>
        </row>
        <row r="328">
          <cell r="F328" t="str">
            <v>5.3-1102-9-1/1</v>
          </cell>
          <cell r="G328" t="str">
            <v>Колка льда на обледеневших покрытиях вручную ( S=1040 м2*0,8*0,3*0,5=124,8 м2)</v>
          </cell>
          <cell r="H328" t="str">
            <v>100 м2</v>
          </cell>
          <cell r="I328">
            <v>1.248</v>
          </cell>
          <cell r="S328">
            <v>250552.67</v>
          </cell>
          <cell r="U328">
            <v>1010.58048</v>
          </cell>
          <cell r="X328">
            <v>175386.87</v>
          </cell>
          <cell r="Y328">
            <v>25055.27</v>
          </cell>
          <cell r="AE328">
            <v>0</v>
          </cell>
          <cell r="AF328">
            <v>200763.36</v>
          </cell>
          <cell r="AO328">
            <v>597.51</v>
          </cell>
          <cell r="AQ328">
            <v>2.41</v>
          </cell>
          <cell r="AT328">
            <v>70</v>
          </cell>
          <cell r="AU328">
            <v>10</v>
          </cell>
          <cell r="AV328">
            <v>1</v>
          </cell>
          <cell r="BA328">
            <v>1</v>
          </cell>
          <cell r="BZ328">
            <v>70</v>
          </cell>
          <cell r="CA328">
            <v>10</v>
          </cell>
          <cell r="CS328">
            <v>0</v>
          </cell>
          <cell r="DG328" t="str">
            <v>)*2*168</v>
          </cell>
          <cell r="DI328" t="str">
            <v>)*2*168</v>
          </cell>
        </row>
        <row r="329">
          <cell r="F329" t="str">
            <v>калькуляция</v>
          </cell>
          <cell r="G329" t="str">
            <v>Посыпка гранитной крошкой  дорожных покрытий вручную( 100г/м2 )</v>
          </cell>
          <cell r="H329" t="str">
            <v>м2</v>
          </cell>
          <cell r="I329">
            <v>1040</v>
          </cell>
          <cell r="S329">
            <v>1453670.3999999999</v>
          </cell>
          <cell r="X329">
            <v>0</v>
          </cell>
          <cell r="Y329">
            <v>0</v>
          </cell>
          <cell r="AE329">
            <v>0</v>
          </cell>
          <cell r="AF329">
            <v>1397.76</v>
          </cell>
          <cell r="AO329">
            <v>2.08</v>
          </cell>
          <cell r="AV329">
            <v>1</v>
          </cell>
          <cell r="BA329">
            <v>1</v>
          </cell>
          <cell r="BZ329">
            <v>0</v>
          </cell>
          <cell r="CA329">
            <v>0</v>
          </cell>
          <cell r="CS329">
            <v>0</v>
          </cell>
          <cell r="DG329" t="str">
            <v>)*4*168</v>
          </cell>
        </row>
        <row r="330">
          <cell r="F330" t="str">
            <v>цена поставщика</v>
          </cell>
          <cell r="G330" t="str">
            <v>Крошка гранитная</v>
          </cell>
          <cell r="H330" t="str">
            <v>кг</v>
          </cell>
          <cell r="I330">
            <v>69888</v>
          </cell>
          <cell r="O330">
            <v>309603.84000000003</v>
          </cell>
          <cell r="X330">
            <v>0</v>
          </cell>
          <cell r="Y330">
            <v>0</v>
          </cell>
          <cell r="AE330">
            <v>0</v>
          </cell>
          <cell r="AF330">
            <v>0</v>
          </cell>
          <cell r="AK330">
            <v>4.43</v>
          </cell>
          <cell r="AV330">
            <v>1</v>
          </cell>
          <cell r="AW330">
            <v>1</v>
          </cell>
          <cell r="BC330">
            <v>1</v>
          </cell>
          <cell r="BZ330">
            <v>0</v>
          </cell>
          <cell r="CA330">
            <v>0</v>
          </cell>
          <cell r="CS330">
            <v>0</v>
          </cell>
        </row>
        <row r="331">
          <cell r="F331" t="str">
            <v>5.4-1201-1-1/1</v>
          </cell>
          <cell r="G331" t="str">
            <v>Сбор случайного мусора по территории</v>
          </cell>
          <cell r="H331" t="str">
            <v>100 м2</v>
          </cell>
          <cell r="I331">
            <v>10.4</v>
          </cell>
          <cell r="P331">
            <v>9529.73</v>
          </cell>
          <cell r="S331">
            <v>171258.88</v>
          </cell>
          <cell r="U331">
            <v>690.56000000000006</v>
          </cell>
          <cell r="X331">
            <v>119881.22</v>
          </cell>
          <cell r="Y331">
            <v>17125.89</v>
          </cell>
          <cell r="AE331">
            <v>0</v>
          </cell>
          <cell r="AF331">
            <v>16467.2</v>
          </cell>
          <cell r="AL331">
            <v>0.69</v>
          </cell>
          <cell r="AO331">
            <v>12.4</v>
          </cell>
          <cell r="AQ331">
            <v>0.05</v>
          </cell>
          <cell r="AT331">
            <v>70</v>
          </cell>
          <cell r="AU331">
            <v>10</v>
          </cell>
          <cell r="AV331">
            <v>1</v>
          </cell>
          <cell r="AW331">
            <v>1</v>
          </cell>
          <cell r="BA331">
            <v>1</v>
          </cell>
          <cell r="BC331">
            <v>1</v>
          </cell>
          <cell r="BZ331">
            <v>70</v>
          </cell>
          <cell r="CA331">
            <v>10</v>
          </cell>
          <cell r="CS331">
            <v>0</v>
          </cell>
          <cell r="DD331" t="str">
            <v>)*4*332</v>
          </cell>
          <cell r="DG331" t="str">
            <v>)*4*332</v>
          </cell>
          <cell r="DI331" t="str">
            <v>)*4*332</v>
          </cell>
        </row>
        <row r="333">
          <cell r="G333" t="str">
            <v>Содержание садово-парковых дорожных покрытий с мощением парковым, пешеходным с разным уровнем уклона поверхности ( S=1040 м2 ) .</v>
          </cell>
        </row>
        <row r="363">
          <cell r="G363" t="str">
            <v>Содержание садово-парковых дорожек с покрытием из гравийной крошки + вокруг МАФ ( S= 3676,88 м2).</v>
          </cell>
        </row>
        <row r="367">
          <cell r="F367" t="str">
            <v>калькуляция</v>
          </cell>
          <cell r="G367" t="str">
            <v>Подметание дорожек  вручную ( S=3676,88 м2)</v>
          </cell>
          <cell r="H367" t="str">
            <v>м2</v>
          </cell>
          <cell r="I367">
            <v>3676.88</v>
          </cell>
          <cell r="S367">
            <v>3183883.93</v>
          </cell>
          <cell r="X367">
            <v>0</v>
          </cell>
          <cell r="Y367">
            <v>0</v>
          </cell>
          <cell r="AE367">
            <v>0</v>
          </cell>
          <cell r="AF367">
            <v>865.92</v>
          </cell>
          <cell r="AO367">
            <v>1.32</v>
          </cell>
          <cell r="AV367">
            <v>1</v>
          </cell>
          <cell r="BA367">
            <v>1</v>
          </cell>
          <cell r="BZ367">
            <v>0</v>
          </cell>
          <cell r="CA367">
            <v>0</v>
          </cell>
          <cell r="CS367">
            <v>0</v>
          </cell>
          <cell r="DG367" t="str">
            <v>)*4*164</v>
          </cell>
        </row>
        <row r="368">
          <cell r="F368" t="str">
            <v>5.3-1102-8-1/1</v>
          </cell>
          <cell r="G368" t="str">
            <v>Уборка свежевыпавшего снега вручную толщиной слоя до 10 см ( S = 3676,88 м2* 0,8*0,7*0,5 =1029,53 м2)</v>
          </cell>
          <cell r="H368" t="str">
            <v>100 м2</v>
          </cell>
          <cell r="I368">
            <v>10.295299999999999</v>
          </cell>
          <cell r="S368">
            <v>1114906.8600000001</v>
          </cell>
          <cell r="U368">
            <v>4496.98704</v>
          </cell>
          <cell r="X368">
            <v>780434.8</v>
          </cell>
          <cell r="Y368">
            <v>111490.69</v>
          </cell>
          <cell r="AE368">
            <v>0</v>
          </cell>
          <cell r="AF368">
            <v>108292.8</v>
          </cell>
          <cell r="AO368">
            <v>161.15</v>
          </cell>
          <cell r="AQ368">
            <v>0.65</v>
          </cell>
          <cell r="AT368">
            <v>70</v>
          </cell>
          <cell r="AU368">
            <v>10</v>
          </cell>
          <cell r="AV368">
            <v>1</v>
          </cell>
          <cell r="BA368">
            <v>1</v>
          </cell>
          <cell r="BZ368">
            <v>70</v>
          </cell>
          <cell r="CA368">
            <v>10</v>
          </cell>
          <cell r="CS368">
            <v>0</v>
          </cell>
          <cell r="DG368" t="str">
            <v>)*4*168</v>
          </cell>
          <cell r="DI368" t="str">
            <v>)*4*168</v>
          </cell>
        </row>
        <row r="369">
          <cell r="F369" t="str">
            <v>5.3-1102-8-3/1</v>
          </cell>
          <cell r="G369" t="str">
            <v>Уборка слежавшегося снега вручную( S=3676,88м2*0,8*0,7*0.5=1029,53м2 )</v>
          </cell>
          <cell r="H369" t="str">
            <v>100 м2</v>
          </cell>
          <cell r="I369">
            <v>10.295299999999999</v>
          </cell>
          <cell r="S369">
            <v>656093.11</v>
          </cell>
          <cell r="U369">
            <v>2646.3039119999999</v>
          </cell>
          <cell r="X369">
            <v>459265.18</v>
          </cell>
          <cell r="Y369">
            <v>65609.31</v>
          </cell>
          <cell r="AE369">
            <v>0</v>
          </cell>
          <cell r="AF369">
            <v>63727.44</v>
          </cell>
          <cell r="AO369">
            <v>379.33</v>
          </cell>
          <cell r="AQ369">
            <v>1.53</v>
          </cell>
          <cell r="AT369">
            <v>70</v>
          </cell>
          <cell r="AU369">
            <v>10</v>
          </cell>
          <cell r="AV369">
            <v>1</v>
          </cell>
          <cell r="BA369">
            <v>1</v>
          </cell>
          <cell r="BZ369">
            <v>70</v>
          </cell>
          <cell r="CA369">
            <v>10</v>
          </cell>
          <cell r="CS369">
            <v>0</v>
          </cell>
          <cell r="DG369" t="str">
            <v>)*1*168</v>
          </cell>
          <cell r="DI369" t="str">
            <v>)*1*168</v>
          </cell>
        </row>
        <row r="370">
          <cell r="F370" t="str">
            <v>5.3-1102-8-1/1</v>
          </cell>
          <cell r="G370" t="str">
            <v>Уборка свежевыпавшего снега вручную толщиной слоя до 10 см ( S = 3676,88 м2* 0,8*0,3 *0,5= 441,23 м2)</v>
          </cell>
          <cell r="H370" t="str">
            <v>100 м2</v>
          </cell>
          <cell r="I370">
            <v>4.4123000000000001</v>
          </cell>
          <cell r="S370">
            <v>477820.32</v>
          </cell>
          <cell r="U370">
            <v>1927.2926400000001</v>
          </cell>
          <cell r="X370">
            <v>334474.21999999997</v>
          </cell>
          <cell r="Y370">
            <v>47782.03</v>
          </cell>
          <cell r="AE370">
            <v>0</v>
          </cell>
          <cell r="AF370">
            <v>108292.8</v>
          </cell>
          <cell r="AO370">
            <v>161.15</v>
          </cell>
          <cell r="AQ370">
            <v>0.65</v>
          </cell>
          <cell r="AT370">
            <v>70</v>
          </cell>
          <cell r="AU370">
            <v>10</v>
          </cell>
          <cell r="AV370">
            <v>1</v>
          </cell>
          <cell r="BA370">
            <v>1</v>
          </cell>
          <cell r="BZ370">
            <v>70</v>
          </cell>
          <cell r="CA370">
            <v>10</v>
          </cell>
          <cell r="CS370">
            <v>0</v>
          </cell>
          <cell r="DG370" t="str">
            <v>)*4*168</v>
          </cell>
          <cell r="DI370" t="str">
            <v>)*4*168</v>
          </cell>
        </row>
        <row r="371">
          <cell r="F371" t="str">
            <v>5.3-1102-8-2/1</v>
          </cell>
          <cell r="G371" t="str">
            <v>Уборка свежевыпавшего снега вручную, добавлять на каждые следующие 10 см увеличения толщины слоя</v>
          </cell>
          <cell r="H371" t="str">
            <v>100 м2</v>
          </cell>
          <cell r="I371">
            <v>4.4123000000000001</v>
          </cell>
          <cell r="S371">
            <v>345519.09</v>
          </cell>
          <cell r="U371">
            <v>1393.5808319999999</v>
          </cell>
          <cell r="X371">
            <v>241863.36</v>
          </cell>
          <cell r="Y371">
            <v>34551.910000000003</v>
          </cell>
          <cell r="AE371">
            <v>0</v>
          </cell>
          <cell r="AF371">
            <v>78308.160000000003</v>
          </cell>
          <cell r="AO371">
            <v>116.53</v>
          </cell>
          <cell r="AQ371">
            <v>0.47</v>
          </cell>
          <cell r="AT371">
            <v>70</v>
          </cell>
          <cell r="AU371">
            <v>10</v>
          </cell>
          <cell r="AV371">
            <v>1</v>
          </cell>
          <cell r="BA371">
            <v>1</v>
          </cell>
          <cell r="BZ371">
            <v>70</v>
          </cell>
          <cell r="CA371">
            <v>10</v>
          </cell>
          <cell r="CS371">
            <v>0</v>
          </cell>
          <cell r="DG371" t="str">
            <v>)*4*168</v>
          </cell>
          <cell r="DI371" t="str">
            <v>)*4*168</v>
          </cell>
        </row>
        <row r="372">
          <cell r="F372" t="str">
            <v>5.3-1102-24-1/1</v>
          </cell>
          <cell r="G372" t="str">
            <v>Уборка свежевыпавшего снега ручной самоходной машиной - ширина захвата 120 см ( S= 3676,88 м2*0,2=735,38 м2 )</v>
          </cell>
          <cell r="H372" t="str">
            <v>100 м2</v>
          </cell>
          <cell r="I372">
            <v>7.3537999999999997</v>
          </cell>
          <cell r="Q372">
            <v>167871.37</v>
          </cell>
          <cell r="R372">
            <v>444.76</v>
          </cell>
          <cell r="S372">
            <v>479646.6</v>
          </cell>
          <cell r="U372">
            <v>1729.6137599999997</v>
          </cell>
          <cell r="X372">
            <v>335752.62</v>
          </cell>
          <cell r="Y372">
            <v>47964.66</v>
          </cell>
          <cell r="AE372">
            <v>60.48</v>
          </cell>
          <cell r="AF372">
            <v>65224.32</v>
          </cell>
          <cell r="AM372">
            <v>33.97</v>
          </cell>
          <cell r="AN372">
            <v>0.09</v>
          </cell>
          <cell r="AO372">
            <v>97.06</v>
          </cell>
          <cell r="AQ372">
            <v>0.35</v>
          </cell>
          <cell r="AT372">
            <v>70</v>
          </cell>
          <cell r="AU372">
            <v>10</v>
          </cell>
          <cell r="AV372">
            <v>1</v>
          </cell>
          <cell r="BA372">
            <v>1</v>
          </cell>
          <cell r="BB372">
            <v>1</v>
          </cell>
          <cell r="BS372">
            <v>1</v>
          </cell>
          <cell r="BZ372">
            <v>70</v>
          </cell>
          <cell r="CA372">
            <v>10</v>
          </cell>
          <cell r="CS372">
            <v>60.48</v>
          </cell>
          <cell r="DE372" t="str">
            <v>)*4*168</v>
          </cell>
          <cell r="DF372" t="str">
            <v>)*4*168</v>
          </cell>
          <cell r="DG372" t="str">
            <v>)*4*168</v>
          </cell>
          <cell r="DI372" t="str">
            <v>)*4*168</v>
          </cell>
        </row>
        <row r="373">
          <cell r="F373" t="str">
            <v>5.3-1102-9-1/1</v>
          </cell>
          <cell r="G373" t="str">
            <v>Колка льда на обледеневших покрытиях вручную ( S=3676,88 м2*0,8*0,3*0,5=  441,23м2)</v>
          </cell>
          <cell r="H373" t="str">
            <v>100 м2</v>
          </cell>
          <cell r="I373">
            <v>4.4123000000000001</v>
          </cell>
          <cell r="S373">
            <v>885828.17</v>
          </cell>
          <cell r="U373">
            <v>3572.9040479999999</v>
          </cell>
          <cell r="X373">
            <v>620079.72</v>
          </cell>
          <cell r="Y373">
            <v>88582.82</v>
          </cell>
          <cell r="AE373">
            <v>0</v>
          </cell>
          <cell r="AF373">
            <v>200763.36</v>
          </cell>
          <cell r="AO373">
            <v>597.51</v>
          </cell>
          <cell r="AQ373">
            <v>2.41</v>
          </cell>
          <cell r="AT373">
            <v>70</v>
          </cell>
          <cell r="AU373">
            <v>10</v>
          </cell>
          <cell r="AV373">
            <v>1</v>
          </cell>
          <cell r="BA373">
            <v>1</v>
          </cell>
          <cell r="BZ373">
            <v>70</v>
          </cell>
          <cell r="CA373">
            <v>10</v>
          </cell>
          <cell r="CS373">
            <v>0</v>
          </cell>
          <cell r="DG373" t="str">
            <v>)*2*168</v>
          </cell>
          <cell r="DI373" t="str">
            <v>)*2*168</v>
          </cell>
        </row>
        <row r="374">
          <cell r="F374" t="str">
            <v>калькуляция</v>
          </cell>
          <cell r="G374" t="str">
            <v>Посыпка гранитной крошкой  дорожных покрытий вручную( 100г/м2 )</v>
          </cell>
          <cell r="H374" t="str">
            <v>м2</v>
          </cell>
          <cell r="I374">
            <v>3676.88</v>
          </cell>
          <cell r="S374">
            <v>5139395.79</v>
          </cell>
          <cell r="X374">
            <v>0</v>
          </cell>
          <cell r="Y374">
            <v>0</v>
          </cell>
          <cell r="AE374">
            <v>0</v>
          </cell>
          <cell r="AF374">
            <v>1397.76</v>
          </cell>
          <cell r="AO374">
            <v>2.08</v>
          </cell>
          <cell r="AV374">
            <v>1</v>
          </cell>
          <cell r="BA374">
            <v>1</v>
          </cell>
          <cell r="BZ374">
            <v>0</v>
          </cell>
          <cell r="CA374">
            <v>0</v>
          </cell>
          <cell r="CS374">
            <v>0</v>
          </cell>
          <cell r="DG374" t="str">
            <v>)*4*168</v>
          </cell>
        </row>
        <row r="375">
          <cell r="F375" t="str">
            <v>цена поставщика</v>
          </cell>
          <cell r="G375" t="str">
            <v>Крошка гранитная</v>
          </cell>
          <cell r="H375" t="str">
            <v>кг</v>
          </cell>
          <cell r="I375">
            <v>247086.33600000001</v>
          </cell>
          <cell r="O375">
            <v>1094592.47</v>
          </cell>
          <cell r="X375">
            <v>0</v>
          </cell>
          <cell r="Y375">
            <v>0</v>
          </cell>
          <cell r="AE375">
            <v>0</v>
          </cell>
          <cell r="AF375">
            <v>0</v>
          </cell>
          <cell r="AK375">
            <v>4.43</v>
          </cell>
          <cell r="AV375">
            <v>1</v>
          </cell>
          <cell r="AW375">
            <v>1</v>
          </cell>
          <cell r="BC375">
            <v>1</v>
          </cell>
          <cell r="BZ375">
            <v>0</v>
          </cell>
          <cell r="CA375">
            <v>0</v>
          </cell>
          <cell r="CS375">
            <v>0</v>
          </cell>
        </row>
        <row r="376">
          <cell r="F376" t="str">
            <v>5.4-1201-1-1/1</v>
          </cell>
          <cell r="G376" t="str">
            <v>Сбор случайного мусора по территории</v>
          </cell>
          <cell r="H376" t="str">
            <v>100 м2</v>
          </cell>
          <cell r="I376">
            <v>36.768799999999999</v>
          </cell>
          <cell r="P376">
            <v>33691.99</v>
          </cell>
          <cell r="S376">
            <v>605479.18000000005</v>
          </cell>
          <cell r="U376">
            <v>2441.44832</v>
          </cell>
          <cell r="X376">
            <v>423835.43</v>
          </cell>
          <cell r="Y376">
            <v>60547.92</v>
          </cell>
          <cell r="AE376">
            <v>0</v>
          </cell>
          <cell r="AF376">
            <v>16467.2</v>
          </cell>
          <cell r="AL376">
            <v>0.69</v>
          </cell>
          <cell r="AO376">
            <v>12.4</v>
          </cell>
          <cell r="AQ376">
            <v>0.05</v>
          </cell>
          <cell r="AT376">
            <v>70</v>
          </cell>
          <cell r="AU376">
            <v>10</v>
          </cell>
          <cell r="AV376">
            <v>1</v>
          </cell>
          <cell r="AW376">
            <v>1</v>
          </cell>
          <cell r="BA376">
            <v>1</v>
          </cell>
          <cell r="BC376">
            <v>1</v>
          </cell>
          <cell r="BZ376">
            <v>70</v>
          </cell>
          <cell r="CA376">
            <v>10</v>
          </cell>
          <cell r="CS376">
            <v>0</v>
          </cell>
          <cell r="DD376" t="str">
            <v>)*4*332</v>
          </cell>
          <cell r="DG376" t="str">
            <v>)*4*332</v>
          </cell>
          <cell r="DI376" t="str">
            <v>)*4*332</v>
          </cell>
        </row>
        <row r="378">
          <cell r="G378" t="str">
            <v>Содержание садово-парковых дорожек с покрытием из гравийной крошки + вокруг МАФ ( S= 3676,88 м2).</v>
          </cell>
        </row>
        <row r="408">
          <cell r="G408" t="str">
            <v>Содержание садово-парковых дорожных покрытий из гравийной крошки с разным уровнем уклона поверхности( S=615 м2 ).</v>
          </cell>
        </row>
        <row r="412">
          <cell r="F412" t="str">
            <v>калькуляция</v>
          </cell>
          <cell r="G412" t="str">
            <v>Подметание дорожек  вручную ( S=615 м2)</v>
          </cell>
          <cell r="H412" t="str">
            <v>м2</v>
          </cell>
          <cell r="I412">
            <v>615</v>
          </cell>
          <cell r="S412">
            <v>532540.80000000005</v>
          </cell>
          <cell r="X412">
            <v>0</v>
          </cell>
          <cell r="Y412">
            <v>0</v>
          </cell>
          <cell r="AE412">
            <v>0</v>
          </cell>
          <cell r="AF412">
            <v>865.92</v>
          </cell>
          <cell r="AO412">
            <v>1.32</v>
          </cell>
          <cell r="AV412">
            <v>1</v>
          </cell>
          <cell r="BA412">
            <v>1</v>
          </cell>
          <cell r="BZ412">
            <v>0</v>
          </cell>
          <cell r="CA412">
            <v>0</v>
          </cell>
          <cell r="CS412">
            <v>0</v>
          </cell>
          <cell r="DG412" t="str">
            <v>)*4*164</v>
          </cell>
        </row>
        <row r="413">
          <cell r="F413" t="str">
            <v>5.3-1102-8-1/1</v>
          </cell>
          <cell r="G413" t="str">
            <v>Уборка свежевыпавшего снега вручную толщиной слоя до 10 см ( S = 615м2* 0,8*0,7*0,5 =172,2 м2)</v>
          </cell>
          <cell r="H413" t="str">
            <v>100 м2</v>
          </cell>
          <cell r="I413">
            <v>1.722</v>
          </cell>
          <cell r="S413">
            <v>186480.2</v>
          </cell>
          <cell r="U413">
            <v>752.16960000000006</v>
          </cell>
          <cell r="X413">
            <v>130536.14</v>
          </cell>
          <cell r="Y413">
            <v>18648.02</v>
          </cell>
          <cell r="AE413">
            <v>0</v>
          </cell>
          <cell r="AF413">
            <v>108292.8</v>
          </cell>
          <cell r="AO413">
            <v>161.15</v>
          </cell>
          <cell r="AQ413">
            <v>0.65</v>
          </cell>
          <cell r="AT413">
            <v>70</v>
          </cell>
          <cell r="AU413">
            <v>10</v>
          </cell>
          <cell r="AV413">
            <v>1</v>
          </cell>
          <cell r="BA413">
            <v>1</v>
          </cell>
          <cell r="BZ413">
            <v>70</v>
          </cell>
          <cell r="CA413">
            <v>10</v>
          </cell>
          <cell r="CS413">
            <v>0</v>
          </cell>
          <cell r="DG413" t="str">
            <v>)*4*168</v>
          </cell>
          <cell r="DI413" t="str">
            <v>)*4*168</v>
          </cell>
        </row>
        <row r="414">
          <cell r="F414" t="str">
            <v>5.3-1102-8-3/1</v>
          </cell>
          <cell r="G414" t="str">
            <v>Уборка слежавшегося снега вручную( S=615м2*0,8*0,7*0,5=172,2м2 )</v>
          </cell>
          <cell r="H414" t="str">
            <v>100 м2</v>
          </cell>
          <cell r="I414">
            <v>1.722</v>
          </cell>
          <cell r="S414">
            <v>109738.65</v>
          </cell>
          <cell r="U414">
            <v>442.62288000000001</v>
          </cell>
          <cell r="X414">
            <v>76817.06</v>
          </cell>
          <cell r="Y414">
            <v>10973.87</v>
          </cell>
          <cell r="AE414">
            <v>0</v>
          </cell>
          <cell r="AF414">
            <v>63727.44</v>
          </cell>
          <cell r="AO414">
            <v>379.33</v>
          </cell>
          <cell r="AQ414">
            <v>1.53</v>
          </cell>
          <cell r="AT414">
            <v>70</v>
          </cell>
          <cell r="AU414">
            <v>10</v>
          </cell>
          <cell r="AV414">
            <v>1</v>
          </cell>
          <cell r="BA414">
            <v>1</v>
          </cell>
          <cell r="BZ414">
            <v>70</v>
          </cell>
          <cell r="CA414">
            <v>10</v>
          </cell>
          <cell r="CS414">
            <v>0</v>
          </cell>
          <cell r="DG414" t="str">
            <v>)*1*168</v>
          </cell>
          <cell r="DI414" t="str">
            <v>)*1*168</v>
          </cell>
        </row>
        <row r="415">
          <cell r="F415" t="str">
            <v>5.3-1102-8-1/1</v>
          </cell>
          <cell r="G415" t="str">
            <v>Уборка свежевыпавшего снега вручную толщиной слоя до 10 см ( S = 615м2* 0,8*0,3*0,5 = 73.8 м2)</v>
          </cell>
          <cell r="H415" t="str">
            <v>100 м2</v>
          </cell>
          <cell r="I415">
            <v>0.73799999999999999</v>
          </cell>
          <cell r="S415">
            <v>79920.09</v>
          </cell>
          <cell r="U415">
            <v>322.35840000000002</v>
          </cell>
          <cell r="X415">
            <v>55944.06</v>
          </cell>
          <cell r="Y415">
            <v>7992.01</v>
          </cell>
          <cell r="AE415">
            <v>0</v>
          </cell>
          <cell r="AF415">
            <v>108292.8</v>
          </cell>
          <cell r="AO415">
            <v>161.15</v>
          </cell>
          <cell r="AQ415">
            <v>0.65</v>
          </cell>
          <cell r="AT415">
            <v>70</v>
          </cell>
          <cell r="AU415">
            <v>10</v>
          </cell>
          <cell r="AV415">
            <v>1</v>
          </cell>
          <cell r="BA415">
            <v>1</v>
          </cell>
          <cell r="BZ415">
            <v>70</v>
          </cell>
          <cell r="CA415">
            <v>10</v>
          </cell>
          <cell r="CS415">
            <v>0</v>
          </cell>
          <cell r="DG415" t="str">
            <v>)*4*168</v>
          </cell>
          <cell r="DI415" t="str">
            <v>)*4*168</v>
          </cell>
        </row>
        <row r="416">
          <cell r="F416" t="str">
            <v>5.3-1102-8-2/1</v>
          </cell>
          <cell r="G416" t="str">
            <v>Уборка свежевыпавшего снега вручную, добавлять на каждые следующие 10 см увеличения толщины слоя</v>
          </cell>
          <cell r="H416" t="str">
            <v>100 м2</v>
          </cell>
          <cell r="I416">
            <v>0.73799999999999999</v>
          </cell>
          <cell r="S416">
            <v>57791.42</v>
          </cell>
          <cell r="U416">
            <v>233.08991999999998</v>
          </cell>
          <cell r="X416">
            <v>40453.99</v>
          </cell>
          <cell r="Y416">
            <v>5779.14</v>
          </cell>
          <cell r="AE416">
            <v>0</v>
          </cell>
          <cell r="AF416">
            <v>78308.160000000003</v>
          </cell>
          <cell r="AO416">
            <v>116.53</v>
          </cell>
          <cell r="AQ416">
            <v>0.47</v>
          </cell>
          <cell r="AT416">
            <v>70</v>
          </cell>
          <cell r="AU416">
            <v>10</v>
          </cell>
          <cell r="AV416">
            <v>1</v>
          </cell>
          <cell r="BA416">
            <v>1</v>
          </cell>
          <cell r="BZ416">
            <v>70</v>
          </cell>
          <cell r="CA416">
            <v>10</v>
          </cell>
          <cell r="CS416">
            <v>0</v>
          </cell>
          <cell r="DG416" t="str">
            <v>)*4*168</v>
          </cell>
          <cell r="DI416" t="str">
            <v>)*4*168</v>
          </cell>
        </row>
        <row r="417">
          <cell r="F417" t="str">
            <v>5.3-1102-24-1/1</v>
          </cell>
          <cell r="G417" t="str">
            <v>Уборка свежевыпавшего снега ручной самоходной машиной - ширина захвата 120 см ( S= 615м2*0,2=123 м2 )</v>
          </cell>
          <cell r="H417" t="str">
            <v>100 м2</v>
          </cell>
          <cell r="I417">
            <v>1.23</v>
          </cell>
          <cell r="Q417">
            <v>28078.240000000002</v>
          </cell>
          <cell r="R417">
            <v>74.39</v>
          </cell>
          <cell r="S417">
            <v>80225.91</v>
          </cell>
          <cell r="U417">
            <v>289.29599999999999</v>
          </cell>
          <cell r="X417">
            <v>56158.14</v>
          </cell>
          <cell r="Y417">
            <v>8022.59</v>
          </cell>
          <cell r="AE417">
            <v>60.48</v>
          </cell>
          <cell r="AF417">
            <v>65224.32</v>
          </cell>
          <cell r="AM417">
            <v>33.97</v>
          </cell>
          <cell r="AN417">
            <v>0.09</v>
          </cell>
          <cell r="AO417">
            <v>97.06</v>
          </cell>
          <cell r="AQ417">
            <v>0.35</v>
          </cell>
          <cell r="AT417">
            <v>70</v>
          </cell>
          <cell r="AU417">
            <v>10</v>
          </cell>
          <cell r="AV417">
            <v>1</v>
          </cell>
          <cell r="BA417">
            <v>1</v>
          </cell>
          <cell r="BB417">
            <v>1</v>
          </cell>
          <cell r="BS417">
            <v>1</v>
          </cell>
          <cell r="BZ417">
            <v>70</v>
          </cell>
          <cell r="CA417">
            <v>10</v>
          </cell>
          <cell r="CS417">
            <v>60.48</v>
          </cell>
          <cell r="DE417" t="str">
            <v>)*4*168</v>
          </cell>
          <cell r="DF417" t="str">
            <v>)*4*168</v>
          </cell>
          <cell r="DG417" t="str">
            <v>)*4*168</v>
          </cell>
          <cell r="DI417" t="str">
            <v>)*4*168</v>
          </cell>
        </row>
        <row r="418">
          <cell r="F418" t="str">
            <v>5.3-1102-9-1/1</v>
          </cell>
          <cell r="G418" t="str">
            <v>Колка льда на обледеневших покрытиях вручную ( S=615 м2*0,8*0,3*0,5= 73.8 м2)</v>
          </cell>
          <cell r="H418" t="str">
            <v>100 м2</v>
          </cell>
          <cell r="I418">
            <v>0.73799999999999999</v>
          </cell>
          <cell r="S418">
            <v>148163.35999999999</v>
          </cell>
          <cell r="U418">
            <v>597.60288000000003</v>
          </cell>
          <cell r="X418">
            <v>103714.35</v>
          </cell>
          <cell r="Y418">
            <v>14816.34</v>
          </cell>
          <cell r="AE418">
            <v>0</v>
          </cell>
          <cell r="AF418">
            <v>200763.36</v>
          </cell>
          <cell r="AO418">
            <v>597.51</v>
          </cell>
          <cell r="AQ418">
            <v>2.41</v>
          </cell>
          <cell r="AT418">
            <v>70</v>
          </cell>
          <cell r="AU418">
            <v>10</v>
          </cell>
          <cell r="AV418">
            <v>1</v>
          </cell>
          <cell r="BA418">
            <v>1</v>
          </cell>
          <cell r="BZ418">
            <v>70</v>
          </cell>
          <cell r="CA418">
            <v>10</v>
          </cell>
          <cell r="CS418">
            <v>0</v>
          </cell>
          <cell r="DG418" t="str">
            <v>)*2*168</v>
          </cell>
          <cell r="DI418" t="str">
            <v>)*2*168</v>
          </cell>
        </row>
        <row r="419">
          <cell r="F419" t="str">
            <v>калькуляция</v>
          </cell>
          <cell r="G419" t="str">
            <v>Посыпка гранитной крошкой  дорожных покрытий вручную( 100г/м2 )</v>
          </cell>
          <cell r="H419" t="str">
            <v>м2</v>
          </cell>
          <cell r="I419">
            <v>615</v>
          </cell>
          <cell r="S419">
            <v>859622.40000000002</v>
          </cell>
          <cell r="X419">
            <v>0</v>
          </cell>
          <cell r="Y419">
            <v>0</v>
          </cell>
          <cell r="AE419">
            <v>0</v>
          </cell>
          <cell r="AF419">
            <v>1397.76</v>
          </cell>
          <cell r="AO419">
            <v>2.08</v>
          </cell>
          <cell r="AV419">
            <v>1</v>
          </cell>
          <cell r="BA419">
            <v>1</v>
          </cell>
          <cell r="BZ419">
            <v>0</v>
          </cell>
          <cell r="CA419">
            <v>0</v>
          </cell>
          <cell r="CS419">
            <v>0</v>
          </cell>
          <cell r="DG419" t="str">
            <v>)*4*168</v>
          </cell>
        </row>
        <row r="420">
          <cell r="F420" t="str">
            <v>цена поставщика</v>
          </cell>
          <cell r="G420" t="str">
            <v>Крошка гранитная</v>
          </cell>
          <cell r="H420" t="str">
            <v>кг</v>
          </cell>
          <cell r="I420">
            <v>41328</v>
          </cell>
          <cell r="O420">
            <v>183083.04</v>
          </cell>
          <cell r="X420">
            <v>0</v>
          </cell>
          <cell r="Y420">
            <v>0</v>
          </cell>
          <cell r="AE420">
            <v>0</v>
          </cell>
          <cell r="AF420">
            <v>0</v>
          </cell>
          <cell r="AK420">
            <v>4.43</v>
          </cell>
          <cell r="AV420">
            <v>1</v>
          </cell>
          <cell r="AW420">
            <v>1</v>
          </cell>
          <cell r="BC420">
            <v>1</v>
          </cell>
          <cell r="BZ420">
            <v>0</v>
          </cell>
          <cell r="CA420">
            <v>0</v>
          </cell>
          <cell r="CS420">
            <v>0</v>
          </cell>
        </row>
        <row r="421">
          <cell r="F421" t="str">
            <v>5.4-1201-1-1/1</v>
          </cell>
          <cell r="G421" t="str">
            <v>Сбор случайного мусора по территории</v>
          </cell>
          <cell r="H421" t="str">
            <v>100 м2</v>
          </cell>
          <cell r="I421">
            <v>6.15</v>
          </cell>
          <cell r="P421">
            <v>5635.37</v>
          </cell>
          <cell r="S421">
            <v>101273.28</v>
          </cell>
          <cell r="U421">
            <v>408.36000000000007</v>
          </cell>
          <cell r="X421">
            <v>70891.3</v>
          </cell>
          <cell r="Y421">
            <v>10127.33</v>
          </cell>
          <cell r="AE421">
            <v>0</v>
          </cell>
          <cell r="AF421">
            <v>16467.2</v>
          </cell>
          <cell r="AL421">
            <v>0.69</v>
          </cell>
          <cell r="AO421">
            <v>12.4</v>
          </cell>
          <cell r="AQ421">
            <v>0.05</v>
          </cell>
          <cell r="AT421">
            <v>70</v>
          </cell>
          <cell r="AU421">
            <v>10</v>
          </cell>
          <cell r="AV421">
            <v>1</v>
          </cell>
          <cell r="AW421">
            <v>1</v>
          </cell>
          <cell r="BA421">
            <v>1</v>
          </cell>
          <cell r="BC421">
            <v>1</v>
          </cell>
          <cell r="BZ421">
            <v>70</v>
          </cell>
          <cell r="CA421">
            <v>10</v>
          </cell>
          <cell r="CS421">
            <v>0</v>
          </cell>
          <cell r="DD421" t="str">
            <v>)*4*332</v>
          </cell>
          <cell r="DG421" t="str">
            <v>)*4*332</v>
          </cell>
          <cell r="DI421" t="str">
            <v>)*4*332</v>
          </cell>
        </row>
        <row r="423">
          <cell r="G423" t="str">
            <v>Содержание садово-парковых дорожных покрытий из гравийной крошки с разным уровнем уклона поверхности( S=615 м2 ).</v>
          </cell>
        </row>
        <row r="453">
          <cell r="G453" t="str">
            <v>Северный тоннель( S=1534,28 м2 , в т.ч. : покрытия напольные гранитные-1258,33 м2, площадки гранитные -147,5 м2, ступени гранитные-26,95 м2, пандус-70,0 м2, парапет-31,5 м2)</v>
          </cell>
        </row>
        <row r="457">
          <cell r="G457" t="str">
            <v>Уход за напольными покрытиями ( S= 1258,33 м2 )</v>
          </cell>
        </row>
        <row r="461">
          <cell r="F461" t="str">
            <v>калькуляция</v>
          </cell>
          <cell r="G461" t="str">
            <v>Подметание дорожек механизированным способом ( S=1258,33 м2)</v>
          </cell>
          <cell r="H461" t="str">
            <v>м2</v>
          </cell>
          <cell r="I461">
            <v>1258.33</v>
          </cell>
          <cell r="Q461">
            <v>536551.91</v>
          </cell>
          <cell r="X461">
            <v>0</v>
          </cell>
          <cell r="Y461">
            <v>0</v>
          </cell>
          <cell r="AE461">
            <v>0</v>
          </cell>
          <cell r="AF461">
            <v>0</v>
          </cell>
          <cell r="AM461">
            <v>0.65</v>
          </cell>
          <cell r="AV461">
            <v>1</v>
          </cell>
          <cell r="BB461">
            <v>1</v>
          </cell>
          <cell r="BZ461">
            <v>0</v>
          </cell>
          <cell r="CA461">
            <v>0</v>
          </cell>
          <cell r="CS461">
            <v>0</v>
          </cell>
          <cell r="DE461" t="str">
            <v>)*4*164</v>
          </cell>
        </row>
        <row r="462">
          <cell r="F462" t="str">
            <v>5.3-1102-12-1/1</v>
          </cell>
          <cell r="G462" t="str">
            <v>Уборка снега средствами малой механизации ( S=1258,33 м2 *0,7=880,83 м2 )</v>
          </cell>
          <cell r="H462" t="str">
            <v>1000 м2</v>
          </cell>
          <cell r="I462">
            <v>0.88083</v>
          </cell>
          <cell r="Q462">
            <v>419219.83</v>
          </cell>
          <cell r="R462">
            <v>139680.75</v>
          </cell>
          <cell r="X462">
            <v>0</v>
          </cell>
          <cell r="Y462">
            <v>0</v>
          </cell>
          <cell r="AE462">
            <v>158578.56</v>
          </cell>
          <cell r="AF462">
            <v>0</v>
          </cell>
          <cell r="AM462">
            <v>708.24</v>
          </cell>
          <cell r="AN462">
            <v>235.98</v>
          </cell>
          <cell r="AV462">
            <v>1</v>
          </cell>
          <cell r="BB462">
            <v>1</v>
          </cell>
          <cell r="BS462">
            <v>1</v>
          </cell>
          <cell r="BZ462">
            <v>70</v>
          </cell>
          <cell r="CA462">
            <v>10</v>
          </cell>
          <cell r="CS462">
            <v>158578.56</v>
          </cell>
          <cell r="DE462" t="str">
            <v>)*4*168</v>
          </cell>
          <cell r="DF462" t="str">
            <v>)*4*168</v>
          </cell>
        </row>
        <row r="463">
          <cell r="F463" t="str">
            <v>5.3-1102-8-1/1</v>
          </cell>
          <cell r="G463" t="str">
            <v>Уборка свежевыпавшего снега вручную толщиной слоя до 10 см ( S = 1258,33 м2*0,3*0.5=188,75 м2)</v>
          </cell>
          <cell r="H463" t="str">
            <v>100 м2</v>
          </cell>
          <cell r="I463">
            <v>1.8875</v>
          </cell>
          <cell r="S463">
            <v>204402.66</v>
          </cell>
          <cell r="U463">
            <v>824.46</v>
          </cell>
          <cell r="X463">
            <v>143081.85999999999</v>
          </cell>
          <cell r="Y463">
            <v>20440.27</v>
          </cell>
          <cell r="AE463">
            <v>0</v>
          </cell>
          <cell r="AF463">
            <v>108292.8</v>
          </cell>
          <cell r="AO463">
            <v>161.15</v>
          </cell>
          <cell r="AQ463">
            <v>0.65</v>
          </cell>
          <cell r="AT463">
            <v>70</v>
          </cell>
          <cell r="AU463">
            <v>10</v>
          </cell>
          <cell r="AV463">
            <v>1</v>
          </cell>
          <cell r="BA463">
            <v>1</v>
          </cell>
          <cell r="BZ463">
            <v>70</v>
          </cell>
          <cell r="CA463">
            <v>10</v>
          </cell>
          <cell r="CS463">
            <v>0</v>
          </cell>
          <cell r="DG463" t="str">
            <v>)*4*168</v>
          </cell>
          <cell r="DI463" t="str">
            <v>)*4*168</v>
          </cell>
        </row>
        <row r="464">
          <cell r="F464" t="str">
            <v>5.3-1102-8-3/1</v>
          </cell>
          <cell r="G464" t="str">
            <v>Уборка слежавшегося снега вручную( S=1258,33м2*0,3*0,5=188,75м2 )</v>
          </cell>
          <cell r="H464" t="str">
            <v>100 м2</v>
          </cell>
          <cell r="I464">
            <v>1.8875</v>
          </cell>
          <cell r="S464">
            <v>120285.54</v>
          </cell>
          <cell r="U464">
            <v>485.16300000000001</v>
          </cell>
          <cell r="X464">
            <v>84199.88</v>
          </cell>
          <cell r="Y464">
            <v>12028.55</v>
          </cell>
          <cell r="AE464">
            <v>0</v>
          </cell>
          <cell r="AF464">
            <v>63727.44</v>
          </cell>
          <cell r="AO464">
            <v>379.33</v>
          </cell>
          <cell r="AQ464">
            <v>1.53</v>
          </cell>
          <cell r="AT464">
            <v>70</v>
          </cell>
          <cell r="AU464">
            <v>10</v>
          </cell>
          <cell r="AV464">
            <v>1</v>
          </cell>
          <cell r="BA464">
            <v>1</v>
          </cell>
          <cell r="BZ464">
            <v>70</v>
          </cell>
          <cell r="CA464">
            <v>10</v>
          </cell>
          <cell r="CS464">
            <v>0</v>
          </cell>
          <cell r="DG464" t="str">
            <v>)*1*168</v>
          </cell>
          <cell r="DI464" t="str">
            <v>)*1*168</v>
          </cell>
        </row>
        <row r="465">
          <cell r="F465" t="str">
            <v>калькуляция</v>
          </cell>
          <cell r="G465" t="str">
            <v>Посыпка  гранитной крошкой дорожных покрытий средствами малой механизации( расход крошки 100 г/м2)</v>
          </cell>
          <cell r="H465" t="str">
            <v>м2</v>
          </cell>
          <cell r="I465">
            <v>1258.33</v>
          </cell>
          <cell r="Q465">
            <v>279047.26</v>
          </cell>
          <cell r="X465">
            <v>0</v>
          </cell>
          <cell r="Y465">
            <v>0</v>
          </cell>
          <cell r="AE465">
            <v>0</v>
          </cell>
          <cell r="AF465">
            <v>0</v>
          </cell>
          <cell r="AM465">
            <v>0.33</v>
          </cell>
          <cell r="AV465">
            <v>1</v>
          </cell>
          <cell r="BB465">
            <v>1</v>
          </cell>
          <cell r="BZ465">
            <v>0</v>
          </cell>
          <cell r="CA465">
            <v>0</v>
          </cell>
          <cell r="CS465">
            <v>0</v>
          </cell>
          <cell r="DE465" t="str">
            <v>)*4*168</v>
          </cell>
        </row>
        <row r="466">
          <cell r="F466" t="str">
            <v>цена поставщика</v>
          </cell>
          <cell r="G466" t="str">
            <v>Крошка гранитная</v>
          </cell>
          <cell r="H466" t="str">
            <v>кг</v>
          </cell>
          <cell r="I466">
            <v>84559.775999999998</v>
          </cell>
          <cell r="O466">
            <v>374599.81</v>
          </cell>
          <cell r="X466">
            <v>0</v>
          </cell>
          <cell r="Y466">
            <v>0</v>
          </cell>
          <cell r="AE466">
            <v>0</v>
          </cell>
          <cell r="AF466">
            <v>0</v>
          </cell>
          <cell r="AK466">
            <v>4.43</v>
          </cell>
          <cell r="AV466">
            <v>1</v>
          </cell>
          <cell r="AW466">
            <v>1</v>
          </cell>
          <cell r="BC466">
            <v>1</v>
          </cell>
          <cell r="BZ466">
            <v>0</v>
          </cell>
          <cell r="CA466">
            <v>0</v>
          </cell>
          <cell r="CS466">
            <v>0</v>
          </cell>
        </row>
        <row r="468">
          <cell r="G468" t="str">
            <v>Уход за напольными покрытиями ( S= 1258,33 м2 )</v>
          </cell>
        </row>
        <row r="498">
          <cell r="G498" t="str">
            <v>Уход за гранитной лестницей( S= 244,45 м2)</v>
          </cell>
        </row>
        <row r="502">
          <cell r="F502" t="str">
            <v>калькуляция</v>
          </cell>
          <cell r="G502" t="str">
            <v>Подметание лестницы</v>
          </cell>
          <cell r="H502" t="str">
            <v>м2</v>
          </cell>
          <cell r="I502">
            <v>244.45</v>
          </cell>
          <cell r="S502">
            <v>311096.84999999998</v>
          </cell>
          <cell r="X502">
            <v>0</v>
          </cell>
          <cell r="Y502">
            <v>0</v>
          </cell>
          <cell r="AE502">
            <v>0</v>
          </cell>
          <cell r="AF502">
            <v>1272.6400000000001</v>
          </cell>
          <cell r="AO502">
            <v>1.94</v>
          </cell>
          <cell r="AV502">
            <v>1</v>
          </cell>
          <cell r="BA502">
            <v>1</v>
          </cell>
          <cell r="BZ502">
            <v>0</v>
          </cell>
          <cell r="CA502">
            <v>0</v>
          </cell>
          <cell r="CS502">
            <v>0</v>
          </cell>
          <cell r="DG502" t="str">
            <v>)*4*164</v>
          </cell>
        </row>
        <row r="503">
          <cell r="F503" t="str">
            <v>5.3-1102-19-1/1</v>
          </cell>
          <cell r="G503" t="str">
            <v>Уборка лестниц от снега вручную на территории типа ВДНХ - толщиной до 10 см</v>
          </cell>
          <cell r="H503" t="str">
            <v>100 м2</v>
          </cell>
          <cell r="I503">
            <v>2.4445000000000001</v>
          </cell>
          <cell r="S503">
            <v>252516.46</v>
          </cell>
          <cell r="U503">
            <v>1018.47648</v>
          </cell>
          <cell r="X503">
            <v>176761.52</v>
          </cell>
          <cell r="Y503">
            <v>25251.65</v>
          </cell>
          <cell r="AE503">
            <v>0</v>
          </cell>
          <cell r="AF503">
            <v>103299.84</v>
          </cell>
          <cell r="AO503">
            <v>153.72</v>
          </cell>
          <cell r="AQ503">
            <v>0.62</v>
          </cell>
          <cell r="AT503">
            <v>70</v>
          </cell>
          <cell r="AU503">
            <v>10</v>
          </cell>
          <cell r="AV503">
            <v>1</v>
          </cell>
          <cell r="BA503">
            <v>1</v>
          </cell>
          <cell r="BZ503">
            <v>70</v>
          </cell>
          <cell r="CA503">
            <v>10</v>
          </cell>
          <cell r="CS503">
            <v>0</v>
          </cell>
          <cell r="DG503" t="str">
            <v>)*4*168</v>
          </cell>
          <cell r="DI503" t="str">
            <v>)*4*168</v>
          </cell>
        </row>
        <row r="504">
          <cell r="F504" t="str">
            <v>5.3-1102-8-3/1</v>
          </cell>
          <cell r="G504" t="str">
            <v>Уборка слежавшегося снега вручную ( 10% от 244,45 м2 )</v>
          </cell>
          <cell r="H504" t="str">
            <v>100 м2</v>
          </cell>
          <cell r="I504">
            <v>0.2445</v>
          </cell>
          <cell r="S504">
            <v>3895.34</v>
          </cell>
          <cell r="U504">
            <v>15.711570000000002</v>
          </cell>
          <cell r="X504">
            <v>2726.74</v>
          </cell>
          <cell r="Y504">
            <v>389.53</v>
          </cell>
          <cell r="AE504">
            <v>0</v>
          </cell>
          <cell r="AF504">
            <v>15931.86</v>
          </cell>
          <cell r="AO504">
            <v>379.33</v>
          </cell>
          <cell r="AQ504">
            <v>1.53</v>
          </cell>
          <cell r="AT504">
            <v>70</v>
          </cell>
          <cell r="AU504">
            <v>10</v>
          </cell>
          <cell r="AV504">
            <v>1</v>
          </cell>
          <cell r="BA504">
            <v>1</v>
          </cell>
          <cell r="BZ504">
            <v>70</v>
          </cell>
          <cell r="CA504">
            <v>10</v>
          </cell>
          <cell r="CS504">
            <v>0</v>
          </cell>
          <cell r="DG504" t="str">
            <v>)*1*42</v>
          </cell>
          <cell r="DI504" t="str">
            <v>)*1*42</v>
          </cell>
        </row>
        <row r="505">
          <cell r="F505" t="str">
            <v>калькуляция</v>
          </cell>
          <cell r="G505" t="str">
            <v>Посыпка гранитной крошкой  дорожных покрытий вручную( 100г/м2 )</v>
          </cell>
          <cell r="H505" t="str">
            <v>м2</v>
          </cell>
          <cell r="I505">
            <v>244.45</v>
          </cell>
          <cell r="S505">
            <v>341682.43</v>
          </cell>
          <cell r="X505">
            <v>0</v>
          </cell>
          <cell r="Y505">
            <v>0</v>
          </cell>
          <cell r="AE505">
            <v>0</v>
          </cell>
          <cell r="AF505">
            <v>1397.76</v>
          </cell>
          <cell r="AO505">
            <v>2.08</v>
          </cell>
          <cell r="AV505">
            <v>1</v>
          </cell>
          <cell r="BA505">
            <v>1</v>
          </cell>
          <cell r="BZ505">
            <v>0</v>
          </cell>
          <cell r="CA505">
            <v>0</v>
          </cell>
          <cell r="CS505">
            <v>0</v>
          </cell>
          <cell r="DG505" t="str">
            <v>)*4*168</v>
          </cell>
        </row>
        <row r="506">
          <cell r="F506" t="str">
            <v>цена поставщика</v>
          </cell>
          <cell r="G506" t="str">
            <v>Крошка гранитная</v>
          </cell>
          <cell r="H506" t="str">
            <v>кг</v>
          </cell>
          <cell r="I506">
            <v>16427.04</v>
          </cell>
          <cell r="O506">
            <v>72771.789999999994</v>
          </cell>
          <cell r="X506">
            <v>0</v>
          </cell>
          <cell r="Y506">
            <v>0</v>
          </cell>
          <cell r="AE506">
            <v>0</v>
          </cell>
          <cell r="AF506">
            <v>0</v>
          </cell>
          <cell r="AK506">
            <v>4.43</v>
          </cell>
          <cell r="AV506">
            <v>1</v>
          </cell>
          <cell r="AW506">
            <v>1</v>
          </cell>
          <cell r="BC506">
            <v>1</v>
          </cell>
          <cell r="BZ506">
            <v>0</v>
          </cell>
          <cell r="CA506">
            <v>0</v>
          </cell>
          <cell r="CS506">
            <v>0</v>
          </cell>
        </row>
        <row r="508">
          <cell r="G508" t="str">
            <v>Уход за гранитной лестницей( S= 244,45 м2)</v>
          </cell>
        </row>
        <row r="538">
          <cell r="G538" t="str">
            <v>Уход за парапетом( S= 31.5 м2 )</v>
          </cell>
        </row>
        <row r="542">
          <cell r="F542" t="str">
            <v>калькуляция</v>
          </cell>
          <cell r="G542" t="str">
            <v>Очистка от снега парапета</v>
          </cell>
          <cell r="H542" t="str">
            <v>м2</v>
          </cell>
          <cell r="I542">
            <v>31.5</v>
          </cell>
          <cell r="S542">
            <v>2173.5</v>
          </cell>
          <cell r="X542">
            <v>0</v>
          </cell>
          <cell r="Y542">
            <v>0</v>
          </cell>
          <cell r="AE542">
            <v>0</v>
          </cell>
          <cell r="AF542">
            <v>69</v>
          </cell>
          <cell r="AO542">
            <v>6.9</v>
          </cell>
          <cell r="AV542">
            <v>1</v>
          </cell>
          <cell r="BA542">
            <v>1</v>
          </cell>
          <cell r="BZ542">
            <v>0</v>
          </cell>
          <cell r="CA542">
            <v>0</v>
          </cell>
          <cell r="CS542">
            <v>0</v>
          </cell>
          <cell r="DG542" t="str">
            <v>)*1*10</v>
          </cell>
        </row>
        <row r="544">
          <cell r="G544" t="str">
            <v>Уход за парапетом( S= 31.5 м2 )</v>
          </cell>
        </row>
        <row r="574">
          <cell r="G574" t="str">
            <v>Сбор мусора.</v>
          </cell>
        </row>
        <row r="578">
          <cell r="F578" t="str">
            <v>5.4-1201-1-1/1</v>
          </cell>
          <cell r="G578" t="str">
            <v>Сбор случайного мусора по территории</v>
          </cell>
          <cell r="H578" t="str">
            <v>100 м2</v>
          </cell>
          <cell r="I578">
            <v>15.027799999999999</v>
          </cell>
          <cell r="P578">
            <v>13770.27</v>
          </cell>
          <cell r="S578">
            <v>247465.79</v>
          </cell>
          <cell r="U578">
            <v>997.84591999999998</v>
          </cell>
          <cell r="X578">
            <v>173226.05</v>
          </cell>
          <cell r="Y578">
            <v>24746.58</v>
          </cell>
          <cell r="AE578">
            <v>0</v>
          </cell>
          <cell r="AF578">
            <v>16467.2</v>
          </cell>
          <cell r="AL578">
            <v>0.69</v>
          </cell>
          <cell r="AO578">
            <v>12.4</v>
          </cell>
          <cell r="AQ578">
            <v>0.05</v>
          </cell>
          <cell r="AT578">
            <v>70</v>
          </cell>
          <cell r="AU578">
            <v>10</v>
          </cell>
          <cell r="AV578">
            <v>1</v>
          </cell>
          <cell r="AW578">
            <v>1</v>
          </cell>
          <cell r="BA578">
            <v>1</v>
          </cell>
          <cell r="BC578">
            <v>1</v>
          </cell>
          <cell r="BZ578">
            <v>70</v>
          </cell>
          <cell r="CA578">
            <v>10</v>
          </cell>
          <cell r="CS578">
            <v>0</v>
          </cell>
          <cell r="DD578" t="str">
            <v>)*4*332</v>
          </cell>
          <cell r="DG578" t="str">
            <v>)*4*332</v>
          </cell>
          <cell r="DI578" t="str">
            <v>)*4*332</v>
          </cell>
        </row>
        <row r="580">
          <cell r="G580" t="str">
            <v>Сбор мусора.</v>
          </cell>
        </row>
        <row r="610">
          <cell r="G610" t="str">
            <v>Северный тоннель( S=1534,28 м2 , в т.ч. : покрытия напольные гранитные-1258,33 м2, площадки гранитные -147,5 м2, ступени гранитные-26,95 м2, пандус-70,0 м2, парапет-31,5 м2)</v>
          </cell>
        </row>
        <row r="640">
          <cell r="G640" t="str">
            <v>Содержание парковых лестниц ( S =3084 м2 )</v>
          </cell>
        </row>
        <row r="644">
          <cell r="F644" t="str">
            <v>калькуляция</v>
          </cell>
          <cell r="G644" t="str">
            <v>Подметание лестницы</v>
          </cell>
          <cell r="H644" t="str">
            <v>м2</v>
          </cell>
          <cell r="I644">
            <v>3084</v>
          </cell>
          <cell r="S644">
            <v>3924821.76</v>
          </cell>
          <cell r="X644">
            <v>0</v>
          </cell>
          <cell r="Y644">
            <v>0</v>
          </cell>
          <cell r="AE644">
            <v>0</v>
          </cell>
          <cell r="AF644">
            <v>1272.6400000000001</v>
          </cell>
          <cell r="AO644">
            <v>1.94</v>
          </cell>
          <cell r="AV644">
            <v>1</v>
          </cell>
          <cell r="BA644">
            <v>1</v>
          </cell>
          <cell r="BZ644">
            <v>0</v>
          </cell>
          <cell r="CA644">
            <v>0</v>
          </cell>
          <cell r="CS644">
            <v>0</v>
          </cell>
          <cell r="DG644" t="str">
            <v>)*4*164</v>
          </cell>
        </row>
        <row r="645">
          <cell r="F645" t="str">
            <v>5.3-1102-19-1/1</v>
          </cell>
          <cell r="G645" t="str">
            <v>Уборка лестниц от снега вручную на территории типа ВДНХ - толщиной до 10 см</v>
          </cell>
          <cell r="H645" t="str">
            <v>100 м2</v>
          </cell>
          <cell r="I645">
            <v>30.84</v>
          </cell>
          <cell r="S645">
            <v>3185767.07</v>
          </cell>
          <cell r="U645">
            <v>12849.177599999999</v>
          </cell>
          <cell r="X645">
            <v>2230036.9500000002</v>
          </cell>
          <cell r="Y645">
            <v>318576.71000000002</v>
          </cell>
          <cell r="AE645">
            <v>0</v>
          </cell>
          <cell r="AF645">
            <v>103299.84</v>
          </cell>
          <cell r="AO645">
            <v>153.72</v>
          </cell>
          <cell r="AQ645">
            <v>0.62</v>
          </cell>
          <cell r="AT645">
            <v>70</v>
          </cell>
          <cell r="AU645">
            <v>10</v>
          </cell>
          <cell r="AV645">
            <v>1</v>
          </cell>
          <cell r="BA645">
            <v>1</v>
          </cell>
          <cell r="BZ645">
            <v>70</v>
          </cell>
          <cell r="CA645">
            <v>10</v>
          </cell>
          <cell r="CS645">
            <v>0</v>
          </cell>
          <cell r="DG645" t="str">
            <v>)*4*168</v>
          </cell>
          <cell r="DI645" t="str">
            <v>)*4*168</v>
          </cell>
        </row>
        <row r="646">
          <cell r="F646" t="str">
            <v>5.3-1102-8-3/1</v>
          </cell>
          <cell r="G646" t="str">
            <v>Уборка слежавшегося снега вручную ( 10% от 3084 м2 )</v>
          </cell>
          <cell r="H646" t="str">
            <v>100 м2</v>
          </cell>
          <cell r="I646">
            <v>3.0840000000000001</v>
          </cell>
          <cell r="S646">
            <v>49133.86</v>
          </cell>
          <cell r="U646">
            <v>198.17784000000003</v>
          </cell>
          <cell r="X646">
            <v>34393.699999999997</v>
          </cell>
          <cell r="Y646">
            <v>4913.3900000000003</v>
          </cell>
          <cell r="AE646">
            <v>0</v>
          </cell>
          <cell r="AF646">
            <v>15931.86</v>
          </cell>
          <cell r="AO646">
            <v>379.33</v>
          </cell>
          <cell r="AQ646">
            <v>1.53</v>
          </cell>
          <cell r="AT646">
            <v>70</v>
          </cell>
          <cell r="AU646">
            <v>10</v>
          </cell>
          <cell r="AV646">
            <v>1</v>
          </cell>
          <cell r="BA646">
            <v>1</v>
          </cell>
          <cell r="BZ646">
            <v>70</v>
          </cell>
          <cell r="CA646">
            <v>10</v>
          </cell>
          <cell r="CS646">
            <v>0</v>
          </cell>
          <cell r="DG646" t="str">
            <v>)*1*42</v>
          </cell>
          <cell r="DI646" t="str">
            <v>)*1*42</v>
          </cell>
        </row>
        <row r="647">
          <cell r="F647" t="str">
            <v>калькуляция</v>
          </cell>
          <cell r="G647" t="str">
            <v>Посыпка гранитной крошкой  дорожных покрытий вручную( 100г/м2 )</v>
          </cell>
          <cell r="H647" t="str">
            <v>м2</v>
          </cell>
          <cell r="I647">
            <v>3084</v>
          </cell>
          <cell r="S647">
            <v>4310691.8399999999</v>
          </cell>
          <cell r="X647">
            <v>0</v>
          </cell>
          <cell r="Y647">
            <v>0</v>
          </cell>
          <cell r="AE647">
            <v>0</v>
          </cell>
          <cell r="AF647">
            <v>1397.76</v>
          </cell>
          <cell r="AO647">
            <v>2.08</v>
          </cell>
          <cell r="AV647">
            <v>1</v>
          </cell>
          <cell r="BA647">
            <v>1</v>
          </cell>
          <cell r="BZ647">
            <v>0</v>
          </cell>
          <cell r="CA647">
            <v>0</v>
          </cell>
          <cell r="CS647">
            <v>0</v>
          </cell>
          <cell r="DG647" t="str">
            <v>)*4*168</v>
          </cell>
        </row>
        <row r="648">
          <cell r="F648" t="str">
            <v>цена поставщика</v>
          </cell>
          <cell r="G648" t="str">
            <v>Крошка гранитная</v>
          </cell>
          <cell r="H648" t="str">
            <v>кг</v>
          </cell>
          <cell r="I648">
            <v>207244.80000000002</v>
          </cell>
          <cell r="O648">
            <v>918094.46</v>
          </cell>
          <cell r="X648">
            <v>0</v>
          </cell>
          <cell r="Y648">
            <v>0</v>
          </cell>
          <cell r="AE648">
            <v>0</v>
          </cell>
          <cell r="AF648">
            <v>0</v>
          </cell>
          <cell r="AK648">
            <v>4.43</v>
          </cell>
          <cell r="AV648">
            <v>1</v>
          </cell>
          <cell r="AW648">
            <v>1</v>
          </cell>
          <cell r="BC648">
            <v>1</v>
          </cell>
          <cell r="BZ648">
            <v>0</v>
          </cell>
          <cell r="CA648">
            <v>0</v>
          </cell>
          <cell r="CS648">
            <v>0</v>
          </cell>
        </row>
        <row r="649">
          <cell r="F649" t="str">
            <v>5.4-1201-1-1/1</v>
          </cell>
          <cell r="G649" t="str">
            <v>Сбор случайного мусора по территории</v>
          </cell>
          <cell r="H649" t="str">
            <v>100 м2</v>
          </cell>
          <cell r="I649">
            <v>30.84</v>
          </cell>
          <cell r="P649">
            <v>28259.31</v>
          </cell>
          <cell r="S649">
            <v>507848.45</v>
          </cell>
          <cell r="U649">
            <v>2047.7760000000001</v>
          </cell>
          <cell r="X649">
            <v>355493.92</v>
          </cell>
          <cell r="Y649">
            <v>50784.85</v>
          </cell>
          <cell r="AE649">
            <v>0</v>
          </cell>
          <cell r="AF649">
            <v>16467.2</v>
          </cell>
          <cell r="AL649">
            <v>0.69</v>
          </cell>
          <cell r="AO649">
            <v>12.4</v>
          </cell>
          <cell r="AQ649">
            <v>0.05</v>
          </cell>
          <cell r="AT649">
            <v>70</v>
          </cell>
          <cell r="AU649">
            <v>10</v>
          </cell>
          <cell r="AV649">
            <v>1</v>
          </cell>
          <cell r="AW649">
            <v>1</v>
          </cell>
          <cell r="BA649">
            <v>1</v>
          </cell>
          <cell r="BC649">
            <v>1</v>
          </cell>
          <cell r="BZ649">
            <v>70</v>
          </cell>
          <cell r="CA649">
            <v>10</v>
          </cell>
          <cell r="CS649">
            <v>0</v>
          </cell>
          <cell r="DD649" t="str">
            <v>)*4*332</v>
          </cell>
          <cell r="DG649" t="str">
            <v>)*4*332</v>
          </cell>
          <cell r="DI649" t="str">
            <v>)*4*332</v>
          </cell>
        </row>
        <row r="651">
          <cell r="G651" t="str">
            <v>Содержание парковых лестниц ( S =3084 м2 )</v>
          </cell>
        </row>
        <row r="681">
          <cell r="G681" t="str">
            <v>Содержание  площадки, покрытой гранитной плиткой, перед рестораном " Восход ". ( S= 257 м2 )</v>
          </cell>
        </row>
        <row r="685">
          <cell r="F685" t="str">
            <v>калькуляция</v>
          </cell>
          <cell r="G685" t="str">
            <v>Подметание дорожек  вручную ( S=257 м2)</v>
          </cell>
          <cell r="H685" t="str">
            <v>м2</v>
          </cell>
          <cell r="I685">
            <v>257</v>
          </cell>
          <cell r="S685">
            <v>222541.44</v>
          </cell>
          <cell r="X685">
            <v>0</v>
          </cell>
          <cell r="Y685">
            <v>0</v>
          </cell>
          <cell r="AE685">
            <v>0</v>
          </cell>
          <cell r="AF685">
            <v>865.92</v>
          </cell>
          <cell r="AO685">
            <v>1.32</v>
          </cell>
          <cell r="AV685">
            <v>1</v>
          </cell>
          <cell r="BA685">
            <v>1</v>
          </cell>
          <cell r="BZ685">
            <v>0</v>
          </cell>
          <cell r="CA685">
            <v>0</v>
          </cell>
          <cell r="CS685">
            <v>0</v>
          </cell>
          <cell r="DG685" t="str">
            <v>)*4*164</v>
          </cell>
        </row>
        <row r="686">
          <cell r="F686" t="str">
            <v>5.3-1102-8-1/1</v>
          </cell>
          <cell r="G686" t="str">
            <v>Уборка свежевыпавшего снега вручную толщиной слоя до 10 см ( S = 257 м2*0,7*0,5=89,95м2</v>
          </cell>
          <cell r="H686" t="str">
            <v>100 м2</v>
          </cell>
          <cell r="I686">
            <v>0.89949999999999997</v>
          </cell>
          <cell r="S686">
            <v>97409.37</v>
          </cell>
          <cell r="U686">
            <v>392.90159999999997</v>
          </cell>
          <cell r="X686">
            <v>68186.559999999998</v>
          </cell>
          <cell r="Y686">
            <v>9740.94</v>
          </cell>
          <cell r="AE686">
            <v>0</v>
          </cell>
          <cell r="AF686">
            <v>108292.8</v>
          </cell>
          <cell r="AO686">
            <v>161.15</v>
          </cell>
          <cell r="AQ686">
            <v>0.65</v>
          </cell>
          <cell r="AT686">
            <v>70</v>
          </cell>
          <cell r="AU686">
            <v>10</v>
          </cell>
          <cell r="AV686">
            <v>1</v>
          </cell>
          <cell r="BA686">
            <v>1</v>
          </cell>
          <cell r="BZ686">
            <v>70</v>
          </cell>
          <cell r="CA686">
            <v>10</v>
          </cell>
          <cell r="CS686">
            <v>0</v>
          </cell>
          <cell r="DG686" t="str">
            <v>)*4*168</v>
          </cell>
          <cell r="DI686" t="str">
            <v>)*4*168</v>
          </cell>
        </row>
        <row r="687">
          <cell r="F687" t="str">
            <v>5.3-1102-8-3/1</v>
          </cell>
          <cell r="G687" t="str">
            <v>Уборка слежавшегося снега вручную( S=257м2**0,7*0,5=89,95м2 )</v>
          </cell>
          <cell r="H687" t="str">
            <v>100 м2</v>
          </cell>
          <cell r="I687">
            <v>0.89949999999999997</v>
          </cell>
          <cell r="S687">
            <v>57322.83</v>
          </cell>
          <cell r="U687">
            <v>231.20748</v>
          </cell>
          <cell r="X687">
            <v>40125.980000000003</v>
          </cell>
          <cell r="Y687">
            <v>5732.28</v>
          </cell>
          <cell r="AE687">
            <v>0</v>
          </cell>
          <cell r="AF687">
            <v>63727.44</v>
          </cell>
          <cell r="AO687">
            <v>379.33</v>
          </cell>
          <cell r="AQ687">
            <v>1.53</v>
          </cell>
          <cell r="AT687">
            <v>70</v>
          </cell>
          <cell r="AU687">
            <v>10</v>
          </cell>
          <cell r="AV687">
            <v>1</v>
          </cell>
          <cell r="BA687">
            <v>1</v>
          </cell>
          <cell r="BZ687">
            <v>70</v>
          </cell>
          <cell r="CA687">
            <v>10</v>
          </cell>
          <cell r="CS687">
            <v>0</v>
          </cell>
          <cell r="DG687" t="str">
            <v>)*1*168</v>
          </cell>
          <cell r="DI687" t="str">
            <v>)*1*168</v>
          </cell>
        </row>
        <row r="688">
          <cell r="F688" t="str">
            <v>5.3-1102-8-1/1</v>
          </cell>
          <cell r="G688" t="str">
            <v>Уборка свежевыпавшего снега вручную толщиной слоя до 10 см ( S = 257м2* *0,3*0,5 = 38,55 м2)</v>
          </cell>
          <cell r="H688" t="str">
            <v>100 м2</v>
          </cell>
          <cell r="I688">
            <v>0.38550000000000001</v>
          </cell>
          <cell r="S688">
            <v>41746.870000000003</v>
          </cell>
          <cell r="U688">
            <v>168.38640000000001</v>
          </cell>
          <cell r="X688">
            <v>29222.81</v>
          </cell>
          <cell r="Y688">
            <v>4174.6899999999996</v>
          </cell>
          <cell r="AE688">
            <v>0</v>
          </cell>
          <cell r="AF688">
            <v>108292.8</v>
          </cell>
          <cell r="AO688">
            <v>161.15</v>
          </cell>
          <cell r="AQ688">
            <v>0.65</v>
          </cell>
          <cell r="AT688">
            <v>70</v>
          </cell>
          <cell r="AU688">
            <v>10</v>
          </cell>
          <cell r="AV688">
            <v>1</v>
          </cell>
          <cell r="BA688">
            <v>1</v>
          </cell>
          <cell r="BZ688">
            <v>70</v>
          </cell>
          <cell r="CA688">
            <v>10</v>
          </cell>
          <cell r="CS688">
            <v>0</v>
          </cell>
          <cell r="DG688" t="str">
            <v>*4*168</v>
          </cell>
          <cell r="DI688" t="str">
            <v>*4*168</v>
          </cell>
        </row>
        <row r="689">
          <cell r="F689" t="str">
            <v>5.3-1102-8-2/1</v>
          </cell>
          <cell r="G689" t="str">
            <v>Уборка свежевыпавшего снега вручную, добавлять на каждые следующие 10 см увеличения толщины слоя</v>
          </cell>
          <cell r="H689" t="str">
            <v>100 м2</v>
          </cell>
          <cell r="I689">
            <v>0.38550000000000001</v>
          </cell>
          <cell r="S689">
            <v>30187.8</v>
          </cell>
          <cell r="U689">
            <v>121.75631999999999</v>
          </cell>
          <cell r="X689">
            <v>21131.46</v>
          </cell>
          <cell r="Y689">
            <v>3018.78</v>
          </cell>
          <cell r="AE689">
            <v>0</v>
          </cell>
          <cell r="AF689">
            <v>78308.160000000003</v>
          </cell>
          <cell r="AO689">
            <v>116.53</v>
          </cell>
          <cell r="AQ689">
            <v>0.47</v>
          </cell>
          <cell r="AT689">
            <v>70</v>
          </cell>
          <cell r="AU689">
            <v>10</v>
          </cell>
          <cell r="AV689">
            <v>1</v>
          </cell>
          <cell r="BA689">
            <v>1</v>
          </cell>
          <cell r="BZ689">
            <v>70</v>
          </cell>
          <cell r="CA689">
            <v>10</v>
          </cell>
          <cell r="CS689">
            <v>0</v>
          </cell>
          <cell r="DG689" t="str">
            <v>*4*168</v>
          </cell>
          <cell r="DI689" t="str">
            <v>*4*168</v>
          </cell>
        </row>
        <row r="690">
          <cell r="F690" t="str">
            <v>5.3-1102-9-1/1</v>
          </cell>
          <cell r="G690" t="str">
            <v>Колка льда на обледеневших покрытиях вручную ( S=257 м2*0,3*0,5= 38,55 м2)</v>
          </cell>
          <cell r="H690" t="str">
            <v>100 м2</v>
          </cell>
          <cell r="I690">
            <v>0.38550000000000001</v>
          </cell>
          <cell r="S690">
            <v>77394.28</v>
          </cell>
          <cell r="U690">
            <v>312.16248000000002</v>
          </cell>
          <cell r="X690">
            <v>54176</v>
          </cell>
          <cell r="Y690">
            <v>7739.43</v>
          </cell>
          <cell r="AE690">
            <v>0</v>
          </cell>
          <cell r="AF690">
            <v>200763.36</v>
          </cell>
          <cell r="AO690">
            <v>597.51</v>
          </cell>
          <cell r="AQ690">
            <v>2.41</v>
          </cell>
          <cell r="AT690">
            <v>70</v>
          </cell>
          <cell r="AU690">
            <v>10</v>
          </cell>
          <cell r="AV690">
            <v>1</v>
          </cell>
          <cell r="BA690">
            <v>1</v>
          </cell>
          <cell r="BZ690">
            <v>70</v>
          </cell>
          <cell r="CA690">
            <v>10</v>
          </cell>
          <cell r="CS690">
            <v>0</v>
          </cell>
          <cell r="DG690" t="str">
            <v>*2*168</v>
          </cell>
          <cell r="DI690" t="str">
            <v>*2*168</v>
          </cell>
        </row>
        <row r="691">
          <cell r="F691" t="str">
            <v>калькуляция</v>
          </cell>
          <cell r="G691" t="str">
            <v>Посыпка  гранитной крошкой дорожных покрытий вручную( 100г/м2 )</v>
          </cell>
          <cell r="H691" t="str">
            <v>м2</v>
          </cell>
          <cell r="I691">
            <v>257</v>
          </cell>
          <cell r="S691">
            <v>359224.32000000001</v>
          </cell>
          <cell r="X691">
            <v>0</v>
          </cell>
          <cell r="Y691">
            <v>0</v>
          </cell>
          <cell r="AE691">
            <v>0</v>
          </cell>
          <cell r="AF691">
            <v>1397.76</v>
          </cell>
          <cell r="AO691">
            <v>2.08</v>
          </cell>
          <cell r="AV691">
            <v>1</v>
          </cell>
          <cell r="BA691">
            <v>1</v>
          </cell>
          <cell r="BZ691">
            <v>0</v>
          </cell>
          <cell r="CA691">
            <v>0</v>
          </cell>
          <cell r="CS691">
            <v>0</v>
          </cell>
          <cell r="DG691" t="str">
            <v>)*4*168</v>
          </cell>
        </row>
        <row r="692">
          <cell r="F692" t="str">
            <v>цена поставщика</v>
          </cell>
          <cell r="G692" t="str">
            <v>Крошка гранитная</v>
          </cell>
          <cell r="H692" t="str">
            <v>кг</v>
          </cell>
          <cell r="I692">
            <v>17270.400000000001</v>
          </cell>
          <cell r="O692">
            <v>76507.87</v>
          </cell>
          <cell r="X692">
            <v>0</v>
          </cell>
          <cell r="Y692">
            <v>0</v>
          </cell>
          <cell r="AE692">
            <v>0</v>
          </cell>
          <cell r="AF692">
            <v>0</v>
          </cell>
          <cell r="AK692">
            <v>4.43</v>
          </cell>
          <cell r="AV692">
            <v>1</v>
          </cell>
          <cell r="AW692">
            <v>1</v>
          </cell>
          <cell r="BC692">
            <v>1</v>
          </cell>
          <cell r="BZ692">
            <v>0</v>
          </cell>
          <cell r="CA692">
            <v>0</v>
          </cell>
          <cell r="CS692">
            <v>0</v>
          </cell>
        </row>
        <row r="693">
          <cell r="F693" t="str">
            <v>5.4-1201-1-1/1</v>
          </cell>
          <cell r="G693" t="str">
            <v>Сбор случайного мусора по территории</v>
          </cell>
          <cell r="H693" t="str">
            <v>100 м2</v>
          </cell>
          <cell r="I693">
            <v>2.57</v>
          </cell>
          <cell r="P693">
            <v>2354.94</v>
          </cell>
          <cell r="S693">
            <v>42320.7</v>
          </cell>
          <cell r="U693">
            <v>170.648</v>
          </cell>
          <cell r="X693">
            <v>29624.49</v>
          </cell>
          <cell r="Y693">
            <v>4232.07</v>
          </cell>
          <cell r="AE693">
            <v>0</v>
          </cell>
          <cell r="AF693">
            <v>16467.2</v>
          </cell>
          <cell r="AL693">
            <v>0.69</v>
          </cell>
          <cell r="AO693">
            <v>12.4</v>
          </cell>
          <cell r="AQ693">
            <v>0.05</v>
          </cell>
          <cell r="AT693">
            <v>70</v>
          </cell>
          <cell r="AU693">
            <v>10</v>
          </cell>
          <cell r="AV693">
            <v>1</v>
          </cell>
          <cell r="AW693">
            <v>1</v>
          </cell>
          <cell r="BA693">
            <v>1</v>
          </cell>
          <cell r="BC693">
            <v>1</v>
          </cell>
          <cell r="BZ693">
            <v>70</v>
          </cell>
          <cell r="CA693">
            <v>10</v>
          </cell>
          <cell r="CS693">
            <v>0</v>
          </cell>
          <cell r="DD693" t="str">
            <v>)*4*332</v>
          </cell>
          <cell r="DG693" t="str">
            <v>)*4*332</v>
          </cell>
          <cell r="DI693" t="str">
            <v>)*4*332</v>
          </cell>
        </row>
        <row r="695">
          <cell r="G695" t="str">
            <v>Содержание  площадки, покрытой гранитной плиткой, перед рестораном " Восход ". ( S= 257 м2 )</v>
          </cell>
        </row>
        <row r="725">
          <cell r="G725" t="str">
            <v>Содержание  покрытий террасной доской: балкон и летняя площадка  " Гастрономическог центра "- 465 м2, балкон Восхода-195 м2.</v>
          </cell>
        </row>
        <row r="729">
          <cell r="F729" t="str">
            <v>калькуляция</v>
          </cell>
          <cell r="G729" t="str">
            <v>Подметание площадки вручную</v>
          </cell>
          <cell r="H729" t="str">
            <v>м2</v>
          </cell>
          <cell r="I729">
            <v>660</v>
          </cell>
          <cell r="S729">
            <v>1636588.8</v>
          </cell>
          <cell r="X729">
            <v>0</v>
          </cell>
          <cell r="Y729">
            <v>0</v>
          </cell>
          <cell r="AE729">
            <v>0</v>
          </cell>
          <cell r="AF729">
            <v>2479.6799999999998</v>
          </cell>
          <cell r="AO729">
            <v>3.78</v>
          </cell>
          <cell r="AV729">
            <v>1</v>
          </cell>
          <cell r="BA729">
            <v>1</v>
          </cell>
          <cell r="BZ729">
            <v>0</v>
          </cell>
          <cell r="CA729">
            <v>0</v>
          </cell>
          <cell r="CS729">
            <v>0</v>
          </cell>
          <cell r="DG729" t="str">
            <v>*4*164</v>
          </cell>
        </row>
        <row r="730">
          <cell r="F730" t="str">
            <v>5.3-1102-23-1/1</v>
          </cell>
          <cell r="G730" t="str">
            <v>Уборка от снега деревянного настила - амфитеатра, тротуаров, лестниц, экотроп</v>
          </cell>
          <cell r="H730" t="str">
            <v>100 м2 горизонтальной проекции</v>
          </cell>
          <cell r="I730">
            <v>6.6</v>
          </cell>
          <cell r="S730">
            <v>4189534.27</v>
          </cell>
          <cell r="U730">
            <v>16898.112000000001</v>
          </cell>
          <cell r="X730">
            <v>2932673.99</v>
          </cell>
          <cell r="Y730">
            <v>418953.43</v>
          </cell>
          <cell r="AE730">
            <v>0</v>
          </cell>
          <cell r="AF730">
            <v>634777.92000000004</v>
          </cell>
          <cell r="AO730">
            <v>944.61</v>
          </cell>
          <cell r="AQ730">
            <v>3.81</v>
          </cell>
          <cell r="AT730">
            <v>70</v>
          </cell>
          <cell r="AU730">
            <v>10</v>
          </cell>
          <cell r="AV730">
            <v>1</v>
          </cell>
          <cell r="BA730">
            <v>1</v>
          </cell>
          <cell r="BZ730">
            <v>70</v>
          </cell>
          <cell r="CA730">
            <v>10</v>
          </cell>
          <cell r="CS730">
            <v>0</v>
          </cell>
          <cell r="DG730" t="str">
            <v>*4*168</v>
          </cell>
          <cell r="DI730" t="str">
            <v>*4*168</v>
          </cell>
        </row>
        <row r="731">
          <cell r="F731" t="str">
            <v>калькуляция</v>
          </cell>
          <cell r="G731" t="str">
            <v>Посыпка гранитной крошкой  дорожных покрытий вручную( 100г/м2 )</v>
          </cell>
          <cell r="H731" t="str">
            <v>м2</v>
          </cell>
          <cell r="I731">
            <v>660</v>
          </cell>
          <cell r="S731">
            <v>922521.59999999998</v>
          </cell>
          <cell r="X731">
            <v>0</v>
          </cell>
          <cell r="Y731">
            <v>0</v>
          </cell>
          <cell r="AE731">
            <v>0</v>
          </cell>
          <cell r="AF731">
            <v>1397.76</v>
          </cell>
          <cell r="AO731">
            <v>2.08</v>
          </cell>
          <cell r="AV731">
            <v>1</v>
          </cell>
          <cell r="BA731">
            <v>1</v>
          </cell>
          <cell r="BZ731">
            <v>0</v>
          </cell>
          <cell r="CA731">
            <v>0</v>
          </cell>
          <cell r="CS731">
            <v>0</v>
          </cell>
          <cell r="DG731" t="str">
            <v>*4*168</v>
          </cell>
        </row>
        <row r="732">
          <cell r="F732" t="str">
            <v>цена поставщика</v>
          </cell>
          <cell r="G732" t="str">
            <v>Крошка гранитная</v>
          </cell>
          <cell r="H732" t="str">
            <v>кг</v>
          </cell>
          <cell r="I732">
            <v>44352</v>
          </cell>
          <cell r="O732">
            <v>196479.35999999999</v>
          </cell>
          <cell r="X732">
            <v>0</v>
          </cell>
          <cell r="Y732">
            <v>0</v>
          </cell>
          <cell r="AE732">
            <v>0</v>
          </cell>
          <cell r="AF732">
            <v>0</v>
          </cell>
          <cell r="AK732">
            <v>4.43</v>
          </cell>
          <cell r="AV732">
            <v>1</v>
          </cell>
          <cell r="AW732">
            <v>1</v>
          </cell>
          <cell r="BC732">
            <v>1</v>
          </cell>
          <cell r="BZ732">
            <v>0</v>
          </cell>
          <cell r="CA732">
            <v>0</v>
          </cell>
          <cell r="CS732">
            <v>0</v>
          </cell>
        </row>
        <row r="733">
          <cell r="F733" t="str">
            <v>5.4-1201-1-1/1</v>
          </cell>
          <cell r="G733" t="str">
            <v>Сбор случайного мусора по территории</v>
          </cell>
          <cell r="H733" t="str">
            <v>100 м2</v>
          </cell>
          <cell r="I733">
            <v>6.6</v>
          </cell>
          <cell r="P733">
            <v>6047.71</v>
          </cell>
          <cell r="S733">
            <v>108683.52</v>
          </cell>
          <cell r="U733">
            <v>438.24</v>
          </cell>
          <cell r="X733">
            <v>76078.460000000006</v>
          </cell>
          <cell r="Y733">
            <v>10868.35</v>
          </cell>
          <cell r="AE733">
            <v>0</v>
          </cell>
          <cell r="AF733">
            <v>16467.2</v>
          </cell>
          <cell r="AL733">
            <v>0.69</v>
          </cell>
          <cell r="AO733">
            <v>12.4</v>
          </cell>
          <cell r="AQ733">
            <v>0.05</v>
          </cell>
          <cell r="AT733">
            <v>70</v>
          </cell>
          <cell r="AU733">
            <v>10</v>
          </cell>
          <cell r="AV733">
            <v>1</v>
          </cell>
          <cell r="AW733">
            <v>1</v>
          </cell>
          <cell r="BA733">
            <v>1</v>
          </cell>
          <cell r="BC733">
            <v>1</v>
          </cell>
          <cell r="BZ733">
            <v>70</v>
          </cell>
          <cell r="CA733">
            <v>10</v>
          </cell>
          <cell r="CS733">
            <v>0</v>
          </cell>
          <cell r="DD733" t="str">
            <v>)*4*332</v>
          </cell>
          <cell r="DG733" t="str">
            <v>*4*332</v>
          </cell>
          <cell r="DI733" t="str">
            <v>*4*332</v>
          </cell>
        </row>
        <row r="735">
          <cell r="G735" t="str">
            <v>Содержание  покрытий террасной доской: балкон и летняя площадка  " Гастрономическог центра "- 465 м2, балкон Восхода-195 м2.</v>
          </cell>
        </row>
        <row r="765">
          <cell r="G765" t="str">
            <v>Содержание лавочек, " Большого амфитеатра" и  " Малого амфитеатра, из бруса. ( Sобщая= 613,69 м2,S зимней уборки=571,24м2; в т.ч  S=324,9 м2-лавочки большого амфитеатра, S=246,34 м2-  лавочки малого амфитеатра )</v>
          </cell>
        </row>
        <row r="769">
          <cell r="F769" t="str">
            <v>калькуляция</v>
          </cell>
          <cell r="G769" t="str">
            <v>Протирка лавочек</v>
          </cell>
          <cell r="H769" t="str">
            <v>м2</v>
          </cell>
          <cell r="I769">
            <v>613.69000000000005</v>
          </cell>
          <cell r="S769">
            <v>1620387.08</v>
          </cell>
          <cell r="X769">
            <v>0</v>
          </cell>
          <cell r="Y769">
            <v>0</v>
          </cell>
          <cell r="AE769">
            <v>0</v>
          </cell>
          <cell r="AF769">
            <v>2640.4</v>
          </cell>
          <cell r="AO769">
            <v>8.0500000000000007</v>
          </cell>
          <cell r="AV769">
            <v>1</v>
          </cell>
          <cell r="BA769">
            <v>1</v>
          </cell>
          <cell r="BZ769">
            <v>0</v>
          </cell>
          <cell r="CA769">
            <v>0</v>
          </cell>
          <cell r="CS769">
            <v>0</v>
          </cell>
          <cell r="DG769" t="str">
            <v>*2*164</v>
          </cell>
        </row>
        <row r="770">
          <cell r="F770" t="str">
            <v>цена поставщика</v>
          </cell>
          <cell r="H770" t="str">
            <v>л</v>
          </cell>
          <cell r="I770">
            <v>40.258063999999997</v>
          </cell>
          <cell r="O770">
            <v>7943.72</v>
          </cell>
          <cell r="X770">
            <v>0</v>
          </cell>
          <cell r="Y770">
            <v>0</v>
          </cell>
          <cell r="AE770">
            <v>0</v>
          </cell>
          <cell r="AF770">
            <v>0</v>
          </cell>
          <cell r="AK770">
            <v>197.32</v>
          </cell>
          <cell r="AV770">
            <v>1</v>
          </cell>
          <cell r="AW770">
            <v>1</v>
          </cell>
          <cell r="BC770">
            <v>1</v>
          </cell>
          <cell r="BZ770">
            <v>0</v>
          </cell>
          <cell r="CA770">
            <v>0</v>
          </cell>
          <cell r="CS770">
            <v>0</v>
          </cell>
        </row>
        <row r="771">
          <cell r="F771" t="str">
            <v>5.3-1102-23-1/1</v>
          </cell>
          <cell r="G771" t="str">
            <v>Уборка от снега деревянного настила - амфитеатра, тротуаров, лестниц, экотроп</v>
          </cell>
          <cell r="H771" t="str">
            <v>100 м2 горизонтальной проекции</v>
          </cell>
          <cell r="I771">
            <v>5.7123999999999997</v>
          </cell>
          <cell r="S771">
            <v>906526.35</v>
          </cell>
          <cell r="U771">
            <v>3656.392992</v>
          </cell>
          <cell r="X771">
            <v>634568.44999999995</v>
          </cell>
          <cell r="Y771">
            <v>90652.64</v>
          </cell>
          <cell r="AE771">
            <v>0</v>
          </cell>
          <cell r="AF771">
            <v>158694.48000000001</v>
          </cell>
          <cell r="AO771">
            <v>944.61</v>
          </cell>
          <cell r="AQ771">
            <v>3.81</v>
          </cell>
          <cell r="AT771">
            <v>70</v>
          </cell>
          <cell r="AU771">
            <v>10</v>
          </cell>
          <cell r="AV771">
            <v>1</v>
          </cell>
          <cell r="BA771">
            <v>1</v>
          </cell>
          <cell r="BZ771">
            <v>70</v>
          </cell>
          <cell r="CA771">
            <v>10</v>
          </cell>
          <cell r="CS771">
            <v>0</v>
          </cell>
          <cell r="DG771" t="str">
            <v>*1*168</v>
          </cell>
          <cell r="DI771" t="str">
            <v>*1*168</v>
          </cell>
        </row>
        <row r="772">
          <cell r="F772" t="str">
            <v>5.4-1201-1-1/1</v>
          </cell>
          <cell r="G772" t="str">
            <v>Сбор случайного мусора по территории</v>
          </cell>
          <cell r="H772" t="str">
            <v>100 м2</v>
          </cell>
          <cell r="I772">
            <v>6.1368999999999998</v>
          </cell>
          <cell r="P772">
            <v>5623.36</v>
          </cell>
          <cell r="S772">
            <v>101057.56</v>
          </cell>
          <cell r="U772">
            <v>407.49016</v>
          </cell>
          <cell r="X772">
            <v>70740.289999999994</v>
          </cell>
          <cell r="Y772">
            <v>10105.76</v>
          </cell>
          <cell r="AE772">
            <v>0</v>
          </cell>
          <cell r="AF772">
            <v>16467.2</v>
          </cell>
          <cell r="AL772">
            <v>0.69</v>
          </cell>
          <cell r="AO772">
            <v>12.4</v>
          </cell>
          <cell r="AQ772">
            <v>0.05</v>
          </cell>
          <cell r="AT772">
            <v>70</v>
          </cell>
          <cell r="AU772">
            <v>10</v>
          </cell>
          <cell r="AV772">
            <v>1</v>
          </cell>
          <cell r="AW772">
            <v>1</v>
          </cell>
          <cell r="BA772">
            <v>1</v>
          </cell>
          <cell r="BC772">
            <v>1</v>
          </cell>
          <cell r="BZ772">
            <v>70</v>
          </cell>
          <cell r="CA772">
            <v>10</v>
          </cell>
          <cell r="CS772">
            <v>0</v>
          </cell>
          <cell r="DD772" t="str">
            <v>)*4*332</v>
          </cell>
          <cell r="DG772" t="str">
            <v>)*4*332</v>
          </cell>
          <cell r="DI772" t="str">
            <v>)*4*332</v>
          </cell>
        </row>
        <row r="774">
          <cell r="G774" t="str">
            <v>Содержание лавочек, " Большого амфитеатра" и  " Малого амфитеатра, из бруса. ( Sобщая= 613,69 м2,S зимней уборки=571,24м2; в т.ч  S=324,9 м2-лавочки большого амфитеатра, S=246,34 м2-  лавочки малого амфитеатра )</v>
          </cell>
        </row>
        <row r="804">
          <cell r="G804" t="str">
            <v>Содержание сценической площадки с покрытием террасной  доской ( S= 545 м2 ).</v>
          </cell>
        </row>
        <row r="808">
          <cell r="F808" t="str">
            <v>калькуляция</v>
          </cell>
          <cell r="G808" t="str">
            <v>Подметание площадки вручную</v>
          </cell>
          <cell r="H808" t="str">
            <v>м2</v>
          </cell>
          <cell r="I808">
            <v>545</v>
          </cell>
          <cell r="S808">
            <v>1351425.6</v>
          </cell>
          <cell r="X808">
            <v>0</v>
          </cell>
          <cell r="Y808">
            <v>0</v>
          </cell>
          <cell r="AE808">
            <v>0</v>
          </cell>
          <cell r="AF808">
            <v>2479.6799999999998</v>
          </cell>
          <cell r="AO808">
            <v>3.78</v>
          </cell>
          <cell r="AV808">
            <v>1</v>
          </cell>
          <cell r="BA808">
            <v>1</v>
          </cell>
          <cell r="BZ808">
            <v>0</v>
          </cell>
          <cell r="CA808">
            <v>0</v>
          </cell>
          <cell r="CS808">
            <v>0</v>
          </cell>
          <cell r="DG808" t="str">
            <v>*4*164</v>
          </cell>
        </row>
        <row r="809">
          <cell r="F809" t="str">
            <v>5.3-1102-23-1/1</v>
          </cell>
          <cell r="G809" t="str">
            <v>Уборка от снега деревянного настила - амфитеатра, тротуаров, лестниц, экотроп ( S= 545 м2 )</v>
          </cell>
          <cell r="H809" t="str">
            <v>100 м2 горизонтальной проекции</v>
          </cell>
          <cell r="I809">
            <v>5.45</v>
          </cell>
          <cell r="S809">
            <v>3459539.66</v>
          </cell>
          <cell r="U809">
            <v>13953.744000000001</v>
          </cell>
          <cell r="X809">
            <v>2421677.7599999998</v>
          </cell>
          <cell r="Y809">
            <v>345953.97</v>
          </cell>
          <cell r="AE809">
            <v>0</v>
          </cell>
          <cell r="AF809">
            <v>634777.92000000004</v>
          </cell>
          <cell r="AO809">
            <v>944.61</v>
          </cell>
          <cell r="AQ809">
            <v>3.81</v>
          </cell>
          <cell r="AT809">
            <v>70</v>
          </cell>
          <cell r="AU809">
            <v>10</v>
          </cell>
          <cell r="AV809">
            <v>1</v>
          </cell>
          <cell r="BA809">
            <v>1</v>
          </cell>
          <cell r="BZ809">
            <v>70</v>
          </cell>
          <cell r="CA809">
            <v>10</v>
          </cell>
          <cell r="CS809">
            <v>0</v>
          </cell>
          <cell r="DG809" t="str">
            <v>*4*168</v>
          </cell>
          <cell r="DI809" t="str">
            <v>*4*168</v>
          </cell>
        </row>
        <row r="810">
          <cell r="F810" t="str">
            <v>5.3-1102-8-3/1</v>
          </cell>
          <cell r="G810" t="str">
            <v>Уборка слежавшегося снега вручную ( S=545 м2*0,1=54,5 м2 )</v>
          </cell>
          <cell r="H810" t="str">
            <v>100 м2</v>
          </cell>
          <cell r="I810">
            <v>0.54500000000000004</v>
          </cell>
          <cell r="S810">
            <v>34731.449999999997</v>
          </cell>
          <cell r="U810">
            <v>140.08680000000001</v>
          </cell>
          <cell r="X810">
            <v>24312.02</v>
          </cell>
          <cell r="Y810">
            <v>3473.15</v>
          </cell>
          <cell r="AE810">
            <v>0</v>
          </cell>
          <cell r="AF810">
            <v>63727.44</v>
          </cell>
          <cell r="AO810">
            <v>379.33</v>
          </cell>
          <cell r="AQ810">
            <v>1.53</v>
          </cell>
          <cell r="AT810">
            <v>70</v>
          </cell>
          <cell r="AU810">
            <v>10</v>
          </cell>
          <cell r="AV810">
            <v>1</v>
          </cell>
          <cell r="BA810">
            <v>1</v>
          </cell>
          <cell r="BZ810">
            <v>70</v>
          </cell>
          <cell r="CA810">
            <v>10</v>
          </cell>
          <cell r="CS810">
            <v>0</v>
          </cell>
          <cell r="DG810" t="str">
            <v>)*1*168</v>
          </cell>
          <cell r="DI810" t="str">
            <v>)*1*168</v>
          </cell>
        </row>
        <row r="811">
          <cell r="F811" t="str">
            <v>калькуляция</v>
          </cell>
          <cell r="G811" t="str">
            <v>Посыпка гранитной крошкой  дорожных покрытий вручную( 100г/м2 )</v>
          </cell>
          <cell r="H811" t="str">
            <v>м2</v>
          </cell>
          <cell r="I811">
            <v>545</v>
          </cell>
          <cell r="S811">
            <v>761779.19999999995</v>
          </cell>
          <cell r="X811">
            <v>0</v>
          </cell>
          <cell r="Y811">
            <v>0</v>
          </cell>
          <cell r="AE811">
            <v>0</v>
          </cell>
          <cell r="AF811">
            <v>1397.76</v>
          </cell>
          <cell r="AO811">
            <v>2.08</v>
          </cell>
          <cell r="AV811">
            <v>1</v>
          </cell>
          <cell r="BA811">
            <v>1</v>
          </cell>
          <cell r="BZ811">
            <v>0</v>
          </cell>
          <cell r="CA811">
            <v>0</v>
          </cell>
          <cell r="CS811">
            <v>0</v>
          </cell>
          <cell r="DG811" t="str">
            <v>*4*168</v>
          </cell>
        </row>
        <row r="812">
          <cell r="F812" t="str">
            <v>цена поставщика</v>
          </cell>
          <cell r="G812" t="str">
            <v>Крошка гранитная</v>
          </cell>
          <cell r="H812" t="str">
            <v>кг</v>
          </cell>
          <cell r="I812">
            <v>36624</v>
          </cell>
          <cell r="O812">
            <v>162244.32</v>
          </cell>
          <cell r="X812">
            <v>0</v>
          </cell>
          <cell r="Y812">
            <v>0</v>
          </cell>
          <cell r="AE812">
            <v>0</v>
          </cell>
          <cell r="AF812">
            <v>0</v>
          </cell>
          <cell r="AK812">
            <v>4.43</v>
          </cell>
          <cell r="AV812">
            <v>1</v>
          </cell>
          <cell r="AW812">
            <v>1</v>
          </cell>
          <cell r="BC812">
            <v>1</v>
          </cell>
          <cell r="BZ812">
            <v>0</v>
          </cell>
          <cell r="CA812">
            <v>0</v>
          </cell>
          <cell r="CS812">
            <v>0</v>
          </cell>
        </row>
        <row r="813">
          <cell r="F813" t="str">
            <v>5.4-1201-1-1/1</v>
          </cell>
          <cell r="G813" t="str">
            <v>Сбор случайного мусора по территории</v>
          </cell>
          <cell r="H813" t="str">
            <v>100 м2</v>
          </cell>
          <cell r="I813">
            <v>5.45</v>
          </cell>
          <cell r="P813">
            <v>4993.9399999999996</v>
          </cell>
          <cell r="S813">
            <v>89746.240000000005</v>
          </cell>
          <cell r="U813">
            <v>361.88000000000005</v>
          </cell>
          <cell r="X813">
            <v>62822.37</v>
          </cell>
          <cell r="Y813">
            <v>8974.6200000000008</v>
          </cell>
          <cell r="AE813">
            <v>0</v>
          </cell>
          <cell r="AF813">
            <v>16467.2</v>
          </cell>
          <cell r="AL813">
            <v>0.69</v>
          </cell>
          <cell r="AO813">
            <v>12.4</v>
          </cell>
          <cell r="AQ813">
            <v>0.05</v>
          </cell>
          <cell r="AT813">
            <v>70</v>
          </cell>
          <cell r="AU813">
            <v>10</v>
          </cell>
          <cell r="AV813">
            <v>1</v>
          </cell>
          <cell r="AW813">
            <v>1</v>
          </cell>
          <cell r="BA813">
            <v>1</v>
          </cell>
          <cell r="BC813">
            <v>1</v>
          </cell>
          <cell r="BZ813">
            <v>70</v>
          </cell>
          <cell r="CA813">
            <v>10</v>
          </cell>
          <cell r="CS813">
            <v>0</v>
          </cell>
          <cell r="DD813" t="str">
            <v>)*4*332</v>
          </cell>
          <cell r="DG813" t="str">
            <v>)*4*332</v>
          </cell>
          <cell r="DI813" t="str">
            <v>)*4*332</v>
          </cell>
        </row>
        <row r="815">
          <cell r="G815" t="str">
            <v>Содержание сценической площадки с покрытием террасной  доской ( S= 545 м2 ).</v>
          </cell>
        </row>
        <row r="845">
          <cell r="G845" t="str">
            <v>Содержание покрытия брусом (лавочка ресторана " Восход "-14,87 м2, лавочка кафе " гастрономический  центр - 99,9 м2)</v>
          </cell>
        </row>
        <row r="849">
          <cell r="F849" t="str">
            <v>калькуляция</v>
          </cell>
          <cell r="G849" t="str">
            <v>Протирка лавочек</v>
          </cell>
          <cell r="H849" t="str">
            <v>м2</v>
          </cell>
          <cell r="I849">
            <v>114.77</v>
          </cell>
          <cell r="S849">
            <v>303038.71000000002</v>
          </cell>
          <cell r="X849">
            <v>0</v>
          </cell>
          <cell r="Y849">
            <v>0</v>
          </cell>
          <cell r="AE849">
            <v>0</v>
          </cell>
          <cell r="AF849">
            <v>2640.4</v>
          </cell>
          <cell r="AO849">
            <v>8.0500000000000007</v>
          </cell>
          <cell r="AV849">
            <v>1</v>
          </cell>
          <cell r="BA849">
            <v>1</v>
          </cell>
          <cell r="BZ849">
            <v>0</v>
          </cell>
          <cell r="CA849">
            <v>0</v>
          </cell>
          <cell r="CS849">
            <v>0</v>
          </cell>
          <cell r="DG849" t="str">
            <v>*2*164</v>
          </cell>
        </row>
        <row r="850">
          <cell r="F850" t="str">
            <v>цена поставщика</v>
          </cell>
          <cell r="G850" t="str">
            <v>Средство моющее незамерзающее для протирки Биомол АД-У</v>
          </cell>
          <cell r="H850" t="str">
            <v>л</v>
          </cell>
          <cell r="I850">
            <v>7.528912</v>
          </cell>
          <cell r="O850">
            <v>1782.7</v>
          </cell>
          <cell r="X850">
            <v>0</v>
          </cell>
          <cell r="Y850">
            <v>0</v>
          </cell>
          <cell r="AE850">
            <v>0</v>
          </cell>
          <cell r="AF850">
            <v>0</v>
          </cell>
          <cell r="AK850">
            <v>236.78</v>
          </cell>
          <cell r="AV850">
            <v>1</v>
          </cell>
          <cell r="AW850">
            <v>1</v>
          </cell>
          <cell r="BC850">
            <v>1</v>
          </cell>
          <cell r="BZ850">
            <v>0</v>
          </cell>
          <cell r="CA850">
            <v>0</v>
          </cell>
          <cell r="CS850">
            <v>0</v>
          </cell>
        </row>
        <row r="851">
          <cell r="F851" t="str">
            <v>5.3-1102-4-1/1</v>
          </cell>
          <cell r="G851" t="str">
            <v>Очистка скамеек, садовых диванов, урн, цветочниц, боллардов от снега вручную</v>
          </cell>
          <cell r="H851" t="str">
            <v>100 м2</v>
          </cell>
          <cell r="I851">
            <v>1.1476999999999999</v>
          </cell>
          <cell r="S851">
            <v>134329.38</v>
          </cell>
          <cell r="U851">
            <v>541.80621599999995</v>
          </cell>
          <cell r="X851">
            <v>94030.57</v>
          </cell>
          <cell r="Y851">
            <v>13432.94</v>
          </cell>
          <cell r="AE851">
            <v>0</v>
          </cell>
          <cell r="AF851">
            <v>117042.24000000001</v>
          </cell>
          <cell r="AO851">
            <v>696.68</v>
          </cell>
          <cell r="AQ851">
            <v>2.81</v>
          </cell>
          <cell r="AT851">
            <v>70</v>
          </cell>
          <cell r="AU851">
            <v>10</v>
          </cell>
          <cell r="AV851">
            <v>1</v>
          </cell>
          <cell r="BA851">
            <v>1</v>
          </cell>
          <cell r="BZ851">
            <v>70</v>
          </cell>
          <cell r="CA851">
            <v>10</v>
          </cell>
          <cell r="CS851">
            <v>0</v>
          </cell>
          <cell r="DG851" t="str">
            <v>)*1*168</v>
          </cell>
          <cell r="DI851" t="str">
            <v>)*1*168</v>
          </cell>
        </row>
        <row r="853">
          <cell r="G853" t="str">
            <v>Содержание покрытия брусом (лавочка ресторана " Восход "-14,87 м2, лавочка кафе " гастрономический  центр - 99,9 м2)</v>
          </cell>
        </row>
        <row r="883">
          <cell r="G883" t="str">
            <v>Уход за детскими площадками.( S= 274,5 м2)</v>
          </cell>
        </row>
        <row r="887">
          <cell r="F887" t="str">
            <v>калькуляция</v>
          </cell>
          <cell r="G887" t="str">
            <v>Уборка полиуретанового покрытия площадки</v>
          </cell>
          <cell r="H887" t="str">
            <v>м2</v>
          </cell>
          <cell r="I887">
            <v>274.5</v>
          </cell>
          <cell r="S887">
            <v>842736.96</v>
          </cell>
          <cell r="X887">
            <v>0</v>
          </cell>
          <cell r="Y887">
            <v>0</v>
          </cell>
          <cell r="AE887">
            <v>0</v>
          </cell>
          <cell r="AF887">
            <v>3070.08</v>
          </cell>
          <cell r="AO887">
            <v>4.68</v>
          </cell>
          <cell r="AV887">
            <v>1</v>
          </cell>
          <cell r="BA887">
            <v>1</v>
          </cell>
          <cell r="BZ887">
            <v>0</v>
          </cell>
          <cell r="CA887">
            <v>0</v>
          </cell>
          <cell r="CS887">
            <v>0</v>
          </cell>
          <cell r="DG887" t="str">
            <v>*4*164</v>
          </cell>
        </row>
        <row r="888">
          <cell r="F888" t="str">
            <v>5.3-1102-21-1/1</v>
          </cell>
          <cell r="G888" t="str">
            <v>Уборка детских и спортивных площадок с резиновым покрытием от снега - свежевыпавшего толщиной до 5 см</v>
          </cell>
          <cell r="H888" t="str">
            <v>100 м2</v>
          </cell>
          <cell r="I888">
            <v>2.7450000000000001</v>
          </cell>
          <cell r="S888">
            <v>471065.72</v>
          </cell>
          <cell r="U888">
            <v>1899.9792</v>
          </cell>
          <cell r="X888">
            <v>329746</v>
          </cell>
          <cell r="Y888">
            <v>47106.57</v>
          </cell>
          <cell r="AE888">
            <v>0</v>
          </cell>
          <cell r="AF888">
            <v>171608.64</v>
          </cell>
          <cell r="AO888">
            <v>255.37</v>
          </cell>
          <cell r="AQ888">
            <v>1.03</v>
          </cell>
          <cell r="AT888">
            <v>70</v>
          </cell>
          <cell r="AU888">
            <v>10</v>
          </cell>
          <cell r="AV888">
            <v>1</v>
          </cell>
          <cell r="BA888">
            <v>1</v>
          </cell>
          <cell r="BZ888">
            <v>70</v>
          </cell>
          <cell r="CA888">
            <v>10</v>
          </cell>
          <cell r="CS888">
            <v>0</v>
          </cell>
          <cell r="DG888" t="str">
            <v>)*4*168</v>
          </cell>
          <cell r="DI888" t="str">
            <v>)*4*168</v>
          </cell>
        </row>
        <row r="889">
          <cell r="F889" t="str">
            <v>5.3-1102-21-3/1</v>
          </cell>
          <cell r="G889" t="str">
            <v>Уборка детских и спортивных площадок с резиновым покрытием от снега - уплотненного толщиной до 5 см</v>
          </cell>
          <cell r="H889" t="str">
            <v>100 м2</v>
          </cell>
          <cell r="I889">
            <v>0.27450000000000002</v>
          </cell>
          <cell r="S889">
            <v>6174.13</v>
          </cell>
          <cell r="U889">
            <v>24.902640000000002</v>
          </cell>
          <cell r="X889">
            <v>4321.8900000000003</v>
          </cell>
          <cell r="Y889">
            <v>617.41</v>
          </cell>
          <cell r="AE889">
            <v>0</v>
          </cell>
          <cell r="AF889">
            <v>22492.26</v>
          </cell>
          <cell r="AO889">
            <v>535.53</v>
          </cell>
          <cell r="AQ889">
            <v>2.16</v>
          </cell>
          <cell r="AT889">
            <v>70</v>
          </cell>
          <cell r="AU889">
            <v>10</v>
          </cell>
          <cell r="AV889">
            <v>1</v>
          </cell>
          <cell r="BA889">
            <v>1</v>
          </cell>
          <cell r="BZ889">
            <v>70</v>
          </cell>
          <cell r="CA889">
            <v>10</v>
          </cell>
          <cell r="CS889">
            <v>0</v>
          </cell>
          <cell r="DG889" t="str">
            <v>)*1*42</v>
          </cell>
          <cell r="DI889" t="str">
            <v>)*1*42</v>
          </cell>
        </row>
        <row r="890">
          <cell r="F890" t="str">
            <v>5.4-1201-1-1/1</v>
          </cell>
          <cell r="G890" t="str">
            <v>Сбор случайного мусора по территории</v>
          </cell>
          <cell r="H890" t="str">
            <v>100 м2</v>
          </cell>
          <cell r="I890">
            <v>2.7450000000000001</v>
          </cell>
          <cell r="P890">
            <v>2515.3000000000002</v>
          </cell>
          <cell r="S890">
            <v>45202.46</v>
          </cell>
          <cell r="U890">
            <v>182.26800000000003</v>
          </cell>
          <cell r="X890">
            <v>31641.72</v>
          </cell>
          <cell r="Y890">
            <v>4520.25</v>
          </cell>
          <cell r="AE890">
            <v>0</v>
          </cell>
          <cell r="AF890">
            <v>16467.2</v>
          </cell>
          <cell r="AL890">
            <v>0.69</v>
          </cell>
          <cell r="AO890">
            <v>12.4</v>
          </cell>
          <cell r="AQ890">
            <v>0.05</v>
          </cell>
          <cell r="AT890">
            <v>70</v>
          </cell>
          <cell r="AU890">
            <v>10</v>
          </cell>
          <cell r="AV890">
            <v>1</v>
          </cell>
          <cell r="AW890">
            <v>1</v>
          </cell>
          <cell r="BA890">
            <v>1</v>
          </cell>
          <cell r="BC890">
            <v>1</v>
          </cell>
          <cell r="BZ890">
            <v>70</v>
          </cell>
          <cell r="CA890">
            <v>10</v>
          </cell>
          <cell r="CS890">
            <v>0</v>
          </cell>
          <cell r="DD890" t="str">
            <v>)*4*332</v>
          </cell>
          <cell r="DG890" t="str">
            <v>)*4*332</v>
          </cell>
          <cell r="DI890" t="str">
            <v>)*4*332</v>
          </cell>
        </row>
        <row r="892">
          <cell r="G892" t="str">
            <v>Уход за детскими площадками.( S= 274,5 м2)</v>
          </cell>
        </row>
        <row r="922">
          <cell r="G922" t="str">
            <v>Игровые элементы " Детской площадки ".( 6шт.)</v>
          </cell>
        </row>
        <row r="926">
          <cell r="F926" t="str">
            <v>5.3-1102-32-1/1</v>
          </cell>
          <cell r="G926" t="str">
            <v>Удаление снега и наледи ручным способом - игровой городок в парке "Зарядье" в составе "Паутинка", "Зигзаг", "Ходули-лабиринт" ("Столбы"), "Балансир" (2 шт.), "Качели-гамак"</v>
          </cell>
          <cell r="H926" t="str">
            <v>комплекс</v>
          </cell>
          <cell r="I926">
            <v>1</v>
          </cell>
          <cell r="S926">
            <v>24991.68</v>
          </cell>
          <cell r="U926">
            <v>100.8</v>
          </cell>
          <cell r="X926">
            <v>17494.18</v>
          </cell>
          <cell r="Y926">
            <v>2499.17</v>
          </cell>
          <cell r="AE926">
            <v>0</v>
          </cell>
          <cell r="AF926">
            <v>24991.68</v>
          </cell>
          <cell r="AO926">
            <v>148.76</v>
          </cell>
          <cell r="AQ926">
            <v>0.6</v>
          </cell>
          <cell r="AT926">
            <v>70</v>
          </cell>
          <cell r="AU926">
            <v>10</v>
          </cell>
          <cell r="AV926">
            <v>1</v>
          </cell>
          <cell r="BA926">
            <v>1</v>
          </cell>
          <cell r="BZ926">
            <v>70</v>
          </cell>
          <cell r="CA926">
            <v>10</v>
          </cell>
          <cell r="CS926">
            <v>0</v>
          </cell>
          <cell r="DG926" t="str">
            <v>)*1*168</v>
          </cell>
          <cell r="DI926" t="str">
            <v>)*1*168</v>
          </cell>
        </row>
        <row r="928">
          <cell r="G928" t="str">
            <v>Игровые элементы " Детской площадки ".( 6шт.)</v>
          </cell>
        </row>
        <row r="958">
          <cell r="G958" t="str">
            <v>Уход за садово-парковыми скамьями. ( S=708,02 м2)</v>
          </cell>
        </row>
        <row r="962">
          <cell r="F962" t="str">
            <v>калькуляция</v>
          </cell>
          <cell r="G962" t="str">
            <v>Протирка скамеек</v>
          </cell>
          <cell r="H962" t="str">
            <v>м2</v>
          </cell>
          <cell r="I962">
            <v>708.02</v>
          </cell>
          <cell r="S962">
            <v>1869456.01</v>
          </cell>
          <cell r="X962">
            <v>0</v>
          </cell>
          <cell r="Y962">
            <v>0</v>
          </cell>
          <cell r="AE962">
            <v>0</v>
          </cell>
          <cell r="AF962">
            <v>2640.4</v>
          </cell>
          <cell r="AO962">
            <v>8.0500000000000007</v>
          </cell>
          <cell r="AV962">
            <v>1</v>
          </cell>
          <cell r="BA962">
            <v>1</v>
          </cell>
          <cell r="BZ962">
            <v>0</v>
          </cell>
          <cell r="CA962">
            <v>0</v>
          </cell>
          <cell r="CS962">
            <v>0</v>
          </cell>
          <cell r="DG962" t="str">
            <v>*2*164</v>
          </cell>
        </row>
        <row r="963">
          <cell r="F963" t="str">
            <v>цена поставщика</v>
          </cell>
          <cell r="G963" t="str">
            <v>Средство моющее незамерзающее для протирки Биомол АД-У</v>
          </cell>
          <cell r="H963" t="str">
            <v>л</v>
          </cell>
          <cell r="I963">
            <v>46.446111999999999</v>
          </cell>
          <cell r="O963">
            <v>10997.51</v>
          </cell>
          <cell r="X963">
            <v>0</v>
          </cell>
          <cell r="Y963">
            <v>0</v>
          </cell>
          <cell r="AE963">
            <v>0</v>
          </cell>
          <cell r="AF963">
            <v>0</v>
          </cell>
          <cell r="AK963">
            <v>236.78</v>
          </cell>
          <cell r="AV963">
            <v>1</v>
          </cell>
          <cell r="AW963">
            <v>1</v>
          </cell>
          <cell r="BC963">
            <v>1</v>
          </cell>
          <cell r="BZ963">
            <v>0</v>
          </cell>
          <cell r="CA963">
            <v>0</v>
          </cell>
          <cell r="CS963">
            <v>0</v>
          </cell>
        </row>
        <row r="964">
          <cell r="F964" t="str">
            <v>5.3-1102-4-1/1</v>
          </cell>
          <cell r="G964" t="str">
            <v>Очистка скамеек, садовых диванов, урн, цветочниц, боллардов от снега вручную</v>
          </cell>
          <cell r="H964" t="str">
            <v>100 м2</v>
          </cell>
          <cell r="I964">
            <v>7.0801999999999996</v>
          </cell>
          <cell r="S964">
            <v>828682.47</v>
          </cell>
          <cell r="U964">
            <v>3342.4208159999998</v>
          </cell>
          <cell r="X964">
            <v>580077.73</v>
          </cell>
          <cell r="Y964">
            <v>82868.25</v>
          </cell>
          <cell r="AE964">
            <v>0</v>
          </cell>
          <cell r="AF964">
            <v>117042.24000000001</v>
          </cell>
          <cell r="AO964">
            <v>696.68</v>
          </cell>
          <cell r="AQ964">
            <v>2.81</v>
          </cell>
          <cell r="AT964">
            <v>70</v>
          </cell>
          <cell r="AU964">
            <v>10</v>
          </cell>
          <cell r="AV964">
            <v>1</v>
          </cell>
          <cell r="BA964">
            <v>1</v>
          </cell>
          <cell r="BZ964">
            <v>70</v>
          </cell>
          <cell r="CA964">
            <v>10</v>
          </cell>
          <cell r="CS964">
            <v>0</v>
          </cell>
          <cell r="DG964" t="str">
            <v>)*1*168</v>
          </cell>
          <cell r="DI964" t="str">
            <v>)*1*168</v>
          </cell>
        </row>
        <row r="966">
          <cell r="G966" t="str">
            <v>Уход за садово-парковыми скамьями. ( S=708,02 м2)</v>
          </cell>
        </row>
        <row r="996">
          <cell r="G996" t="str">
            <v>Содержание деревянного моста.( S= 276 м2 )</v>
          </cell>
        </row>
        <row r="1000">
          <cell r="F1000" t="str">
            <v>калькуляция</v>
          </cell>
          <cell r="G1000" t="str">
            <v>Содержание моста</v>
          </cell>
          <cell r="H1000" t="str">
            <v>м2</v>
          </cell>
          <cell r="I1000">
            <v>276</v>
          </cell>
          <cell r="S1000">
            <v>756814.08</v>
          </cell>
          <cell r="X1000">
            <v>0</v>
          </cell>
          <cell r="Y1000">
            <v>0</v>
          </cell>
          <cell r="AE1000">
            <v>0</v>
          </cell>
          <cell r="AF1000">
            <v>2742.08</v>
          </cell>
          <cell r="AO1000">
            <v>4.18</v>
          </cell>
          <cell r="AV1000">
            <v>1</v>
          </cell>
          <cell r="BA1000">
            <v>1</v>
          </cell>
          <cell r="BZ1000">
            <v>0</v>
          </cell>
          <cell r="CA1000">
            <v>0</v>
          </cell>
          <cell r="CS1000">
            <v>0</v>
          </cell>
          <cell r="DG1000" t="str">
            <v>*4*164</v>
          </cell>
        </row>
        <row r="1001">
          <cell r="F1001" t="str">
            <v>5.3-1102-23-1/1</v>
          </cell>
          <cell r="G1001" t="str">
            <v>Уборка от снега деревянного настила - амфитеатра, тротуаров, лестниц, экотроп ( S= 545 м2 )</v>
          </cell>
          <cell r="H1001" t="str">
            <v>100 м2 горизонтальной проекции</v>
          </cell>
          <cell r="I1001">
            <v>2.76</v>
          </cell>
          <cell r="S1001">
            <v>1751987.06</v>
          </cell>
          <cell r="U1001">
            <v>7066.4831999999997</v>
          </cell>
          <cell r="X1001">
            <v>1226390.94</v>
          </cell>
          <cell r="Y1001">
            <v>175198.71</v>
          </cell>
          <cell r="AE1001">
            <v>0</v>
          </cell>
          <cell r="AF1001">
            <v>634777.92000000004</v>
          </cell>
          <cell r="AO1001">
            <v>944.61</v>
          </cell>
          <cell r="AQ1001">
            <v>3.81</v>
          </cell>
          <cell r="AT1001">
            <v>70</v>
          </cell>
          <cell r="AU1001">
            <v>10</v>
          </cell>
          <cell r="AV1001">
            <v>1</v>
          </cell>
          <cell r="BA1001">
            <v>1</v>
          </cell>
          <cell r="BZ1001">
            <v>70</v>
          </cell>
          <cell r="CA1001">
            <v>10</v>
          </cell>
          <cell r="CS1001">
            <v>0</v>
          </cell>
          <cell r="DG1001" t="str">
            <v>*4*168</v>
          </cell>
          <cell r="DI1001" t="str">
            <v>*4*168</v>
          </cell>
        </row>
        <row r="1002">
          <cell r="F1002" t="str">
            <v>калькуляция</v>
          </cell>
          <cell r="G1002" t="str">
            <v>Посыпка гранитной крошкой  дорожных покрытий вручную( 100г/м2 )</v>
          </cell>
          <cell r="H1002" t="str">
            <v>м2</v>
          </cell>
          <cell r="I1002">
            <v>276</v>
          </cell>
          <cell r="S1002">
            <v>385781.76000000001</v>
          </cell>
          <cell r="X1002">
            <v>0</v>
          </cell>
          <cell r="Y1002">
            <v>0</v>
          </cell>
          <cell r="AE1002">
            <v>0</v>
          </cell>
          <cell r="AF1002">
            <v>1397.76</v>
          </cell>
          <cell r="AO1002">
            <v>2.08</v>
          </cell>
          <cell r="AV1002">
            <v>1</v>
          </cell>
          <cell r="BA1002">
            <v>1</v>
          </cell>
          <cell r="BZ1002">
            <v>0</v>
          </cell>
          <cell r="CA1002">
            <v>0</v>
          </cell>
          <cell r="CS1002">
            <v>0</v>
          </cell>
          <cell r="DG1002" t="str">
            <v>*4*168</v>
          </cell>
        </row>
        <row r="1003">
          <cell r="F1003" t="str">
            <v>цена поставщика</v>
          </cell>
          <cell r="G1003" t="str">
            <v>Крошка гранитная</v>
          </cell>
          <cell r="H1003" t="str">
            <v>кг</v>
          </cell>
          <cell r="I1003">
            <v>18547.2</v>
          </cell>
          <cell r="O1003">
            <v>82164.100000000006</v>
          </cell>
          <cell r="X1003">
            <v>0</v>
          </cell>
          <cell r="Y1003">
            <v>0</v>
          </cell>
          <cell r="AE1003">
            <v>0</v>
          </cell>
          <cell r="AF1003">
            <v>0</v>
          </cell>
          <cell r="AK1003">
            <v>4.43</v>
          </cell>
          <cell r="AV1003">
            <v>1</v>
          </cell>
          <cell r="AW1003">
            <v>1</v>
          </cell>
          <cell r="BC1003">
            <v>1</v>
          </cell>
          <cell r="BZ1003">
            <v>0</v>
          </cell>
          <cell r="CA1003">
            <v>0</v>
          </cell>
          <cell r="CS1003">
            <v>0</v>
          </cell>
        </row>
        <row r="1004">
          <cell r="F1004" t="str">
            <v>5.4-1201-1-1/1</v>
          </cell>
          <cell r="G1004" t="str">
            <v>Сбор случайного мусора по территории</v>
          </cell>
          <cell r="H1004" t="str">
            <v>100 м2</v>
          </cell>
          <cell r="I1004">
            <v>2.76</v>
          </cell>
          <cell r="P1004">
            <v>2529.04</v>
          </cell>
          <cell r="S1004">
            <v>45449.47</v>
          </cell>
          <cell r="U1004">
            <v>183.26400000000001</v>
          </cell>
          <cell r="X1004">
            <v>31814.63</v>
          </cell>
          <cell r="Y1004">
            <v>4544.95</v>
          </cell>
          <cell r="AE1004">
            <v>0</v>
          </cell>
          <cell r="AF1004">
            <v>16467.2</v>
          </cell>
          <cell r="AL1004">
            <v>0.69</v>
          </cell>
          <cell r="AO1004">
            <v>12.4</v>
          </cell>
          <cell r="AQ1004">
            <v>0.05</v>
          </cell>
          <cell r="AT1004">
            <v>70</v>
          </cell>
          <cell r="AU1004">
            <v>10</v>
          </cell>
          <cell r="AV1004">
            <v>1</v>
          </cell>
          <cell r="AW1004">
            <v>1</v>
          </cell>
          <cell r="BA1004">
            <v>1</v>
          </cell>
          <cell r="BC1004">
            <v>1</v>
          </cell>
          <cell r="BZ1004">
            <v>70</v>
          </cell>
          <cell r="CA1004">
            <v>10</v>
          </cell>
          <cell r="CS1004">
            <v>0</v>
          </cell>
          <cell r="DD1004" t="str">
            <v>)*4*332</v>
          </cell>
          <cell r="DG1004" t="str">
            <v>)*4*332</v>
          </cell>
          <cell r="DI1004" t="str">
            <v>)*4*332</v>
          </cell>
        </row>
        <row r="1006">
          <cell r="G1006" t="str">
            <v>Содержание деревянного моста.( S= 276 м2 )</v>
          </cell>
        </row>
        <row r="1036">
          <cell r="G1036" t="str">
            <v>Уход за урнами.( 80 шт.)</v>
          </cell>
        </row>
        <row r="1040">
          <cell r="F1040" t="str">
            <v>5.3-1102-4-1/1</v>
          </cell>
          <cell r="G1040" t="str">
            <v>Очистка скамеек, садовых диванов, урн, цветочниц, боллардов от снега вручную</v>
          </cell>
          <cell r="H1040" t="str">
            <v>100 м2</v>
          </cell>
          <cell r="I1040">
            <v>0.8</v>
          </cell>
          <cell r="S1040">
            <v>280901.38</v>
          </cell>
          <cell r="U1040">
            <v>1132.992</v>
          </cell>
          <cell r="X1040">
            <v>196630.97</v>
          </cell>
          <cell r="Y1040">
            <v>28090.14</v>
          </cell>
          <cell r="AE1040">
            <v>0</v>
          </cell>
          <cell r="AF1040">
            <v>351126.72</v>
          </cell>
          <cell r="AO1040">
            <v>696.68</v>
          </cell>
          <cell r="AQ1040">
            <v>2.81</v>
          </cell>
          <cell r="AT1040">
            <v>70</v>
          </cell>
          <cell r="AU1040">
            <v>10</v>
          </cell>
          <cell r="AV1040">
            <v>1</v>
          </cell>
          <cell r="BA1040">
            <v>1</v>
          </cell>
          <cell r="BZ1040">
            <v>70</v>
          </cell>
          <cell r="CA1040">
            <v>10</v>
          </cell>
          <cell r="CS1040">
            <v>0</v>
          </cell>
          <cell r="DG1040" t="str">
            <v>)*3*168</v>
          </cell>
          <cell r="DI1040" t="str">
            <v>)*3*168</v>
          </cell>
        </row>
        <row r="1041">
          <cell r="F1041" t="str">
            <v>калькуляция</v>
          </cell>
          <cell r="G1041" t="str">
            <v>Замена пакетов</v>
          </cell>
          <cell r="H1041" t="str">
            <v>шт.</v>
          </cell>
          <cell r="I1041">
            <v>80</v>
          </cell>
          <cell r="S1041">
            <v>487641.59999999998</v>
          </cell>
          <cell r="X1041">
            <v>0</v>
          </cell>
          <cell r="Y1041">
            <v>0</v>
          </cell>
          <cell r="AE1041">
            <v>0</v>
          </cell>
          <cell r="AF1041">
            <v>6095.52</v>
          </cell>
          <cell r="AO1041">
            <v>6.12</v>
          </cell>
          <cell r="AV1041">
            <v>1</v>
          </cell>
          <cell r="BA1041">
            <v>1</v>
          </cell>
          <cell r="BZ1041">
            <v>0</v>
          </cell>
          <cell r="CA1041">
            <v>0</v>
          </cell>
          <cell r="CS1041">
            <v>0</v>
          </cell>
          <cell r="DG1041" t="str">
            <v>)*3*332</v>
          </cell>
        </row>
        <row r="1042">
          <cell r="F1042" t="str">
            <v>цена поставщика</v>
          </cell>
          <cell r="G1042" t="str">
            <v>Пакет для мусора, 240 л</v>
          </cell>
          <cell r="H1042" t="str">
            <v>шт.</v>
          </cell>
          <cell r="I1042">
            <v>79680</v>
          </cell>
          <cell r="O1042">
            <v>1424678.4</v>
          </cell>
          <cell r="X1042">
            <v>0</v>
          </cell>
          <cell r="Y1042">
            <v>0</v>
          </cell>
          <cell r="AE1042">
            <v>0</v>
          </cell>
          <cell r="AF1042">
            <v>0</v>
          </cell>
          <cell r="AK1042">
            <v>17.88</v>
          </cell>
          <cell r="AV1042">
            <v>1</v>
          </cell>
          <cell r="AW1042">
            <v>1</v>
          </cell>
          <cell r="BC1042">
            <v>1</v>
          </cell>
          <cell r="BZ1042">
            <v>0</v>
          </cell>
          <cell r="CA1042">
            <v>0</v>
          </cell>
          <cell r="CS1042">
            <v>0</v>
          </cell>
        </row>
        <row r="1044">
          <cell r="G1044" t="str">
            <v>Уход за урнами.( 80 шт.)</v>
          </cell>
        </row>
        <row r="1074">
          <cell r="G1074" t="str">
            <v>Содержание твердых покрытий и подпорных стенок Москворецкой набережной.( S = 1889,1 м2 + 506,82 м2).</v>
          </cell>
        </row>
        <row r="1078">
          <cell r="G1078" t="str">
            <v>Содержание твердых покрытий ( S-1889,1 м2)</v>
          </cell>
        </row>
        <row r="1082">
          <cell r="F1082" t="str">
            <v>калькуляция</v>
          </cell>
          <cell r="G1082" t="str">
            <v>Подметание  механизированным способом ( S=1889,1м2 *0,7=1322,37 м2)</v>
          </cell>
          <cell r="H1082" t="str">
            <v>м2</v>
          </cell>
          <cell r="I1082">
            <v>1322.37</v>
          </cell>
          <cell r="Q1082">
            <v>563858.56999999995</v>
          </cell>
          <cell r="X1082">
            <v>0</v>
          </cell>
          <cell r="Y1082">
            <v>0</v>
          </cell>
          <cell r="AE1082">
            <v>0</v>
          </cell>
          <cell r="AF1082">
            <v>0</v>
          </cell>
          <cell r="AM1082">
            <v>0.65</v>
          </cell>
          <cell r="AV1082">
            <v>1</v>
          </cell>
          <cell r="BB1082">
            <v>1</v>
          </cell>
          <cell r="BZ1082">
            <v>0</v>
          </cell>
          <cell r="CA1082">
            <v>0</v>
          </cell>
          <cell r="CS1082">
            <v>0</v>
          </cell>
          <cell r="DE1082" t="str">
            <v>*4*164</v>
          </cell>
        </row>
        <row r="1083">
          <cell r="F1083" t="str">
            <v>калькуляция</v>
          </cell>
          <cell r="G1083" t="str">
            <v>Подметание дорожек  вручную ( S=1889,1 м2*0,3=566,73 м2)</v>
          </cell>
          <cell r="H1083" t="str">
            <v>м2</v>
          </cell>
          <cell r="I1083">
            <v>566.73</v>
          </cell>
          <cell r="S1083">
            <v>490742.84</v>
          </cell>
          <cell r="X1083">
            <v>0</v>
          </cell>
          <cell r="Y1083">
            <v>0</v>
          </cell>
          <cell r="AE1083">
            <v>0</v>
          </cell>
          <cell r="AF1083">
            <v>865.92</v>
          </cell>
          <cell r="AO1083">
            <v>1.32</v>
          </cell>
          <cell r="AV1083">
            <v>1</v>
          </cell>
          <cell r="BA1083">
            <v>1</v>
          </cell>
          <cell r="BZ1083">
            <v>0</v>
          </cell>
          <cell r="CA1083">
            <v>0</v>
          </cell>
          <cell r="CS1083">
            <v>0</v>
          </cell>
          <cell r="DG1083" t="str">
            <v>*4*164</v>
          </cell>
        </row>
        <row r="1084">
          <cell r="F1084" t="str">
            <v>калькуляция</v>
          </cell>
          <cell r="G1084" t="str">
            <v>Мытье дорожек  механизированным способом( 30% от 1889,1 м2)</v>
          </cell>
          <cell r="H1084" t="str">
            <v>м2</v>
          </cell>
          <cell r="I1084">
            <v>566.73</v>
          </cell>
          <cell r="Q1084">
            <v>304855.40000000002</v>
          </cell>
          <cell r="X1084">
            <v>0</v>
          </cell>
          <cell r="Y1084">
            <v>0</v>
          </cell>
          <cell r="AE1084">
            <v>0</v>
          </cell>
          <cell r="AF1084">
            <v>0</v>
          </cell>
          <cell r="AM1084">
            <v>3.28</v>
          </cell>
          <cell r="AV1084">
            <v>1</v>
          </cell>
          <cell r="BB1084">
            <v>1</v>
          </cell>
          <cell r="BZ1084">
            <v>0</v>
          </cell>
          <cell r="CA1084">
            <v>0</v>
          </cell>
          <cell r="CS1084">
            <v>0</v>
          </cell>
          <cell r="DE1084" t="str">
            <v>*1*164</v>
          </cell>
        </row>
        <row r="1085">
          <cell r="F1085" t="str">
            <v>цена поставщика</v>
          </cell>
          <cell r="G1085" t="str">
            <v>Средство для механизированной мойки дорожных покрытий в зимнее время -ПГМ Жидкий хлористый кальций</v>
          </cell>
          <cell r="H1085" t="str">
            <v>л</v>
          </cell>
          <cell r="I1085">
            <v>27.883116000000001</v>
          </cell>
          <cell r="O1085">
            <v>328.18</v>
          </cell>
          <cell r="X1085">
            <v>0</v>
          </cell>
          <cell r="Y1085">
            <v>0</v>
          </cell>
          <cell r="AE1085">
            <v>0</v>
          </cell>
          <cell r="AF1085">
            <v>0</v>
          </cell>
          <cell r="AK1085">
            <v>11.77</v>
          </cell>
          <cell r="AV1085">
            <v>1</v>
          </cell>
          <cell r="AW1085">
            <v>1</v>
          </cell>
          <cell r="BC1085">
            <v>1</v>
          </cell>
          <cell r="BZ1085">
            <v>0</v>
          </cell>
          <cell r="CA1085">
            <v>0</v>
          </cell>
          <cell r="CS1085">
            <v>0</v>
          </cell>
        </row>
        <row r="1086">
          <cell r="F1086" t="str">
            <v>5.3-1102-12-1/1</v>
          </cell>
          <cell r="G1086" t="str">
            <v>Уборка снега средствами малой механизации ( 1889,1 м2 *0,7 = 1322,37м2)</v>
          </cell>
          <cell r="H1086" t="str">
            <v>1000 м2</v>
          </cell>
          <cell r="I1086">
            <v>1.32237</v>
          </cell>
          <cell r="Q1086">
            <v>629365.18000000005</v>
          </cell>
          <cell r="R1086">
            <v>209699.53</v>
          </cell>
          <cell r="X1086">
            <v>0</v>
          </cell>
          <cell r="Y1086">
            <v>0</v>
          </cell>
          <cell r="AE1086">
            <v>158578.56</v>
          </cell>
          <cell r="AF1086">
            <v>0</v>
          </cell>
          <cell r="AM1086">
            <v>708.24</v>
          </cell>
          <cell r="AN1086">
            <v>235.98</v>
          </cell>
          <cell r="AV1086">
            <v>1</v>
          </cell>
          <cell r="BB1086">
            <v>1</v>
          </cell>
          <cell r="BS1086">
            <v>1</v>
          </cell>
          <cell r="BZ1086">
            <v>70</v>
          </cell>
          <cell r="CA1086">
            <v>10</v>
          </cell>
          <cell r="CS1086">
            <v>158578.56</v>
          </cell>
          <cell r="DE1086" t="str">
            <v>*4*168</v>
          </cell>
          <cell r="DF1086" t="str">
            <v>*4*168</v>
          </cell>
        </row>
        <row r="1087">
          <cell r="F1087" t="str">
            <v>5.3-1102-8-1/1</v>
          </cell>
          <cell r="G1087" t="str">
            <v>Уборка свежевыпавшего снега вручную толщиной слоя до 10 см ( 1889,1 м2 * 0,1*0,7*0,5 = 66,12м2 )</v>
          </cell>
          <cell r="H1087" t="str">
            <v>100 м2</v>
          </cell>
          <cell r="I1087">
            <v>0.66120000000000001</v>
          </cell>
          <cell r="S1087">
            <v>71603.199999999997</v>
          </cell>
          <cell r="U1087">
            <v>288.81216000000001</v>
          </cell>
          <cell r="X1087">
            <v>50122.239999999998</v>
          </cell>
          <cell r="Y1087">
            <v>7160.32</v>
          </cell>
          <cell r="AE1087">
            <v>0</v>
          </cell>
          <cell r="AF1087">
            <v>108292.8</v>
          </cell>
          <cell r="AO1087">
            <v>161.15</v>
          </cell>
          <cell r="AQ1087">
            <v>0.65</v>
          </cell>
          <cell r="AT1087">
            <v>70</v>
          </cell>
          <cell r="AU1087">
            <v>10</v>
          </cell>
          <cell r="AV1087">
            <v>1</v>
          </cell>
          <cell r="BA1087">
            <v>1</v>
          </cell>
          <cell r="BZ1087">
            <v>70</v>
          </cell>
          <cell r="CA1087">
            <v>10</v>
          </cell>
          <cell r="CS1087">
            <v>0</v>
          </cell>
          <cell r="DG1087" t="str">
            <v>*4*168</v>
          </cell>
          <cell r="DI1087" t="str">
            <v>*4*168</v>
          </cell>
        </row>
        <row r="1088">
          <cell r="F1088" t="str">
            <v>5.3-1102-8-3/1</v>
          </cell>
          <cell r="G1088" t="str">
            <v>Уборка слежавшегося снега вручную(S=1889,1 м2*0,1*0,7*0,5=66,12м2)</v>
          </cell>
          <cell r="H1088" t="str">
            <v>100 м2</v>
          </cell>
          <cell r="I1088">
            <v>0.66120000000000001</v>
          </cell>
          <cell r="S1088">
            <v>42136.58</v>
          </cell>
          <cell r="U1088">
            <v>169.95484800000003</v>
          </cell>
          <cell r="X1088">
            <v>29495.61</v>
          </cell>
          <cell r="Y1088">
            <v>4213.66</v>
          </cell>
          <cell r="AE1088">
            <v>0</v>
          </cell>
          <cell r="AF1088">
            <v>63727.44</v>
          </cell>
          <cell r="AO1088">
            <v>379.33</v>
          </cell>
          <cell r="AQ1088">
            <v>1.53</v>
          </cell>
          <cell r="AT1088">
            <v>70</v>
          </cell>
          <cell r="AU1088">
            <v>10</v>
          </cell>
          <cell r="AV1088">
            <v>1</v>
          </cell>
          <cell r="BA1088">
            <v>1</v>
          </cell>
          <cell r="BZ1088">
            <v>70</v>
          </cell>
          <cell r="CA1088">
            <v>10</v>
          </cell>
          <cell r="CS1088">
            <v>0</v>
          </cell>
          <cell r="DG1088" t="str">
            <v>)*1*168</v>
          </cell>
          <cell r="DI1088" t="str">
            <v>)*1*168</v>
          </cell>
        </row>
        <row r="1089">
          <cell r="F1089" t="str">
            <v>5.3-1102-8-1/1</v>
          </cell>
          <cell r="G1089" t="str">
            <v>Уборка свежевыпавшего снега вручную толщиной слоя до 10 см ( 1889,1 м2 * 0,1*0,3*0,5= 28,34м2 )</v>
          </cell>
          <cell r="H1089" t="str">
            <v>100 м2</v>
          </cell>
          <cell r="I1089">
            <v>0.28339999999999999</v>
          </cell>
          <cell r="S1089">
            <v>30690.18</v>
          </cell>
          <cell r="U1089">
            <v>123.78912</v>
          </cell>
          <cell r="X1089">
            <v>21483.13</v>
          </cell>
          <cell r="Y1089">
            <v>3069.02</v>
          </cell>
          <cell r="AE1089">
            <v>0</v>
          </cell>
          <cell r="AF1089">
            <v>108292.8</v>
          </cell>
          <cell r="AO1089">
            <v>161.15</v>
          </cell>
          <cell r="AQ1089">
            <v>0.65</v>
          </cell>
          <cell r="AT1089">
            <v>70</v>
          </cell>
          <cell r="AU1089">
            <v>10</v>
          </cell>
          <cell r="AV1089">
            <v>1</v>
          </cell>
          <cell r="BA1089">
            <v>1</v>
          </cell>
          <cell r="BZ1089">
            <v>70</v>
          </cell>
          <cell r="CA1089">
            <v>10</v>
          </cell>
          <cell r="CS1089">
            <v>0</v>
          </cell>
          <cell r="DG1089" t="str">
            <v>*4*168</v>
          </cell>
          <cell r="DI1089" t="str">
            <v>*4*168</v>
          </cell>
        </row>
        <row r="1090">
          <cell r="F1090" t="str">
            <v>5.3-1102-8-2/1</v>
          </cell>
          <cell r="G1090" t="str">
            <v>Уборка свежевыпавшего снега вручную, добавлять на каждые следующие 10 см увеличения толщины слоя</v>
          </cell>
          <cell r="H1090" t="str">
            <v>100 м2</v>
          </cell>
          <cell r="I1090">
            <v>0.28339999999999999</v>
          </cell>
          <cell r="S1090">
            <v>22192.53</v>
          </cell>
          <cell r="U1090">
            <v>89.509055999999987</v>
          </cell>
          <cell r="X1090">
            <v>15534.77</v>
          </cell>
          <cell r="Y1090">
            <v>2219.25</v>
          </cell>
          <cell r="AE1090">
            <v>0</v>
          </cell>
          <cell r="AF1090">
            <v>78308.160000000003</v>
          </cell>
          <cell r="AO1090">
            <v>116.53</v>
          </cell>
          <cell r="AQ1090">
            <v>0.47</v>
          </cell>
          <cell r="AT1090">
            <v>70</v>
          </cell>
          <cell r="AU1090">
            <v>10</v>
          </cell>
          <cell r="AV1090">
            <v>1</v>
          </cell>
          <cell r="BA1090">
            <v>1</v>
          </cell>
          <cell r="BZ1090">
            <v>70</v>
          </cell>
          <cell r="CA1090">
            <v>10</v>
          </cell>
          <cell r="CS1090">
            <v>0</v>
          </cell>
          <cell r="DG1090" t="str">
            <v>*4*168</v>
          </cell>
          <cell r="DI1090" t="str">
            <v>*4*168</v>
          </cell>
        </row>
        <row r="1091">
          <cell r="F1091" t="str">
            <v>5.3-1102-24-1/1</v>
          </cell>
          <cell r="G1091" t="str">
            <v>Уборка свежевыпавшего снега ручной самоходной машиной - ширина захвата 120 см ( S=1889,1 м2*0,2=377,82 м2)</v>
          </cell>
          <cell r="H1091" t="str">
            <v>100 м2</v>
          </cell>
          <cell r="I1091">
            <v>3.7782</v>
          </cell>
          <cell r="Q1091">
            <v>86248.15</v>
          </cell>
          <cell r="R1091">
            <v>228.51</v>
          </cell>
          <cell r="S1091">
            <v>246430.53</v>
          </cell>
          <cell r="U1091">
            <v>888.63263999999992</v>
          </cell>
          <cell r="X1091">
            <v>172501.37</v>
          </cell>
          <cell r="Y1091">
            <v>24643.05</v>
          </cell>
          <cell r="AE1091">
            <v>60.48</v>
          </cell>
          <cell r="AF1091">
            <v>65224.32</v>
          </cell>
          <cell r="AM1091">
            <v>33.97</v>
          </cell>
          <cell r="AN1091">
            <v>0.09</v>
          </cell>
          <cell r="AO1091">
            <v>97.06</v>
          </cell>
          <cell r="AQ1091">
            <v>0.35</v>
          </cell>
          <cell r="AT1091">
            <v>70</v>
          </cell>
          <cell r="AU1091">
            <v>10</v>
          </cell>
          <cell r="AV1091">
            <v>1</v>
          </cell>
          <cell r="BA1091">
            <v>1</v>
          </cell>
          <cell r="BB1091">
            <v>1</v>
          </cell>
          <cell r="BS1091">
            <v>1</v>
          </cell>
          <cell r="BZ1091">
            <v>70</v>
          </cell>
          <cell r="CA1091">
            <v>10</v>
          </cell>
          <cell r="CS1091">
            <v>60.48</v>
          </cell>
          <cell r="DE1091" t="str">
            <v>*4*168</v>
          </cell>
          <cell r="DF1091" t="str">
            <v>*4*168</v>
          </cell>
          <cell r="DG1091" t="str">
            <v>*4*168</v>
          </cell>
          <cell r="DI1091" t="str">
            <v>*4*168</v>
          </cell>
        </row>
        <row r="1092">
          <cell r="F1092" t="str">
            <v>5.3-1102-9-1/1</v>
          </cell>
          <cell r="G1092" t="str">
            <v>Колка льда на обледеневших покрытиях вручную ( S=1889,1 м2*0,1*0,3*0,5=  28,34м2)</v>
          </cell>
          <cell r="H1092" t="str">
            <v>100 м2</v>
          </cell>
          <cell r="I1092">
            <v>0.28339999999999999</v>
          </cell>
          <cell r="S1092">
            <v>56896.34</v>
          </cell>
          <cell r="U1092">
            <v>229.48598399999997</v>
          </cell>
          <cell r="X1092">
            <v>39827.440000000002</v>
          </cell>
          <cell r="Y1092">
            <v>5689.63</v>
          </cell>
          <cell r="AE1092">
            <v>0</v>
          </cell>
          <cell r="AF1092">
            <v>200763.36</v>
          </cell>
          <cell r="AO1092">
            <v>597.51</v>
          </cell>
          <cell r="AQ1092">
            <v>2.41</v>
          </cell>
          <cell r="AT1092">
            <v>70</v>
          </cell>
          <cell r="AU1092">
            <v>10</v>
          </cell>
          <cell r="AV1092">
            <v>1</v>
          </cell>
          <cell r="BA1092">
            <v>1</v>
          </cell>
          <cell r="BZ1092">
            <v>70</v>
          </cell>
          <cell r="CA1092">
            <v>10</v>
          </cell>
          <cell r="CS1092">
            <v>0</v>
          </cell>
          <cell r="DG1092" t="str">
            <v>)*2*168</v>
          </cell>
          <cell r="DI1092" t="str">
            <v>)*2*168</v>
          </cell>
        </row>
        <row r="1093">
          <cell r="F1093" t="str">
            <v>калькуляция</v>
          </cell>
          <cell r="G1093" t="str">
            <v>Посыпка  гранитной крошкой дорожных покрытий средствами малой механизации( расход крошки 100 г/м2)</v>
          </cell>
          <cell r="H1093" t="str">
            <v>м2</v>
          </cell>
          <cell r="I1093">
            <v>1322.37</v>
          </cell>
          <cell r="Q1093">
            <v>293248.77</v>
          </cell>
          <cell r="X1093">
            <v>0</v>
          </cell>
          <cell r="Y1093">
            <v>0</v>
          </cell>
          <cell r="AE1093">
            <v>0</v>
          </cell>
          <cell r="AF1093">
            <v>0</v>
          </cell>
          <cell r="AM1093">
            <v>0.33</v>
          </cell>
          <cell r="AV1093">
            <v>1</v>
          </cell>
          <cell r="BB1093">
            <v>1</v>
          </cell>
          <cell r="BZ1093">
            <v>0</v>
          </cell>
          <cell r="CA1093">
            <v>0</v>
          </cell>
          <cell r="CS1093">
            <v>0</v>
          </cell>
          <cell r="DE1093" t="str">
            <v>*4*168</v>
          </cell>
        </row>
        <row r="1094">
          <cell r="F1094" t="str">
            <v>цена поставщика</v>
          </cell>
          <cell r="G1094" t="str">
            <v>Крошка гранитная</v>
          </cell>
          <cell r="H1094" t="str">
            <v>кг</v>
          </cell>
          <cell r="I1094">
            <v>88863.263999999996</v>
          </cell>
          <cell r="O1094">
            <v>393664.26</v>
          </cell>
          <cell r="X1094">
            <v>0</v>
          </cell>
          <cell r="Y1094">
            <v>0</v>
          </cell>
          <cell r="AE1094">
            <v>0</v>
          </cell>
          <cell r="AF1094">
            <v>0</v>
          </cell>
          <cell r="AK1094">
            <v>4.43</v>
          </cell>
          <cell r="AV1094">
            <v>1</v>
          </cell>
          <cell r="AW1094">
            <v>1</v>
          </cell>
          <cell r="BC1094">
            <v>1</v>
          </cell>
          <cell r="BZ1094">
            <v>0</v>
          </cell>
          <cell r="CA1094">
            <v>0</v>
          </cell>
          <cell r="CS1094">
            <v>0</v>
          </cell>
        </row>
        <row r="1095">
          <cell r="F1095" t="str">
            <v>калькуляция</v>
          </cell>
          <cell r="G1095" t="str">
            <v>Посыпка гранитной крошкой  дорожных покрытий вручную( 100г/м2 )</v>
          </cell>
          <cell r="H1095" t="str">
            <v>м2</v>
          </cell>
          <cell r="I1095">
            <v>566.73</v>
          </cell>
          <cell r="S1095">
            <v>792152.52</v>
          </cell>
          <cell r="X1095">
            <v>0</v>
          </cell>
          <cell r="Y1095">
            <v>0</v>
          </cell>
          <cell r="AE1095">
            <v>0</v>
          </cell>
          <cell r="AF1095">
            <v>1397.76</v>
          </cell>
          <cell r="AO1095">
            <v>2.08</v>
          </cell>
          <cell r="AV1095">
            <v>1</v>
          </cell>
          <cell r="BA1095">
            <v>1</v>
          </cell>
          <cell r="BZ1095">
            <v>0</v>
          </cell>
          <cell r="CA1095">
            <v>0</v>
          </cell>
          <cell r="CS1095">
            <v>0</v>
          </cell>
          <cell r="DG1095" t="str">
            <v>*4*168</v>
          </cell>
        </row>
        <row r="1096">
          <cell r="F1096" t="str">
            <v>цена поставщика</v>
          </cell>
          <cell r="G1096" t="str">
            <v>Крошка гранитная</v>
          </cell>
          <cell r="H1096" t="str">
            <v>кг</v>
          </cell>
          <cell r="I1096">
            <v>38084.256000000001</v>
          </cell>
          <cell r="O1096">
            <v>168713.25</v>
          </cell>
          <cell r="X1096">
            <v>0</v>
          </cell>
          <cell r="Y1096">
            <v>0</v>
          </cell>
          <cell r="AE1096">
            <v>0</v>
          </cell>
          <cell r="AF1096">
            <v>0</v>
          </cell>
          <cell r="AK1096">
            <v>4.43</v>
          </cell>
          <cell r="AV1096">
            <v>1</v>
          </cell>
          <cell r="AW1096">
            <v>1</v>
          </cell>
          <cell r="BC1096">
            <v>1</v>
          </cell>
          <cell r="BZ1096">
            <v>0</v>
          </cell>
          <cell r="CA1096">
            <v>0</v>
          </cell>
          <cell r="CS1096">
            <v>0</v>
          </cell>
        </row>
        <row r="1097">
          <cell r="F1097" t="str">
            <v>5.4-1201-1-1/1</v>
          </cell>
          <cell r="G1097" t="str">
            <v>Сбор случайного мусора по территории</v>
          </cell>
          <cell r="H1097" t="str">
            <v>100 м2</v>
          </cell>
          <cell r="I1097">
            <v>18.890999999999998</v>
          </cell>
          <cell r="P1097">
            <v>17310.2</v>
          </cell>
          <cell r="S1097">
            <v>311081.88</v>
          </cell>
          <cell r="U1097">
            <v>1254.3624</v>
          </cell>
          <cell r="X1097">
            <v>217757.32</v>
          </cell>
          <cell r="Y1097">
            <v>31108.19</v>
          </cell>
          <cell r="AE1097">
            <v>0</v>
          </cell>
          <cell r="AF1097">
            <v>16467.2</v>
          </cell>
          <cell r="AL1097">
            <v>0.69</v>
          </cell>
          <cell r="AO1097">
            <v>12.4</v>
          </cell>
          <cell r="AQ1097">
            <v>0.05</v>
          </cell>
          <cell r="AT1097">
            <v>70</v>
          </cell>
          <cell r="AU1097">
            <v>10</v>
          </cell>
          <cell r="AV1097">
            <v>1</v>
          </cell>
          <cell r="AW1097">
            <v>1</v>
          </cell>
          <cell r="BA1097">
            <v>1</v>
          </cell>
          <cell r="BC1097">
            <v>1</v>
          </cell>
          <cell r="BZ1097">
            <v>70</v>
          </cell>
          <cell r="CA1097">
            <v>10</v>
          </cell>
          <cell r="CS1097">
            <v>0</v>
          </cell>
          <cell r="DD1097" t="str">
            <v>)*4*332</v>
          </cell>
          <cell r="DG1097" t="str">
            <v>)*4*332</v>
          </cell>
          <cell r="DI1097" t="str">
            <v>)*4*332</v>
          </cell>
        </row>
        <row r="1099">
          <cell r="G1099" t="str">
            <v>Содержание твердых покрытий ( S-1889,1 м2)</v>
          </cell>
        </row>
        <row r="1129">
          <cell r="G1129" t="str">
            <v>Уход за подпорными стенками ( S=506,82 м2)</v>
          </cell>
        </row>
        <row r="1133">
          <cell r="F1133" t="str">
            <v>калькуляция</v>
          </cell>
          <cell r="G1133" t="str">
            <v>Очистка от снега подпорных стенок</v>
          </cell>
          <cell r="H1133" t="str">
            <v>м2</v>
          </cell>
          <cell r="I1133">
            <v>506.82</v>
          </cell>
          <cell r="S1133">
            <v>17485.29</v>
          </cell>
          <cell r="X1133">
            <v>0</v>
          </cell>
          <cell r="Y1133">
            <v>0</v>
          </cell>
          <cell r="AE1133">
            <v>0</v>
          </cell>
          <cell r="AF1133">
            <v>34.5</v>
          </cell>
          <cell r="AO1133">
            <v>3.45</v>
          </cell>
          <cell r="AV1133">
            <v>1</v>
          </cell>
          <cell r="BA1133">
            <v>1</v>
          </cell>
          <cell r="BZ1133">
            <v>0</v>
          </cell>
          <cell r="CA1133">
            <v>0</v>
          </cell>
          <cell r="CS1133">
            <v>0</v>
          </cell>
          <cell r="DG1133" t="str">
            <v>)*1*10</v>
          </cell>
        </row>
        <row r="1135">
          <cell r="G1135" t="str">
            <v>Уход за подпорными стенками ( S=506,82 м2)</v>
          </cell>
        </row>
        <row r="1165">
          <cell r="G1165" t="str">
            <v>Содержание твердых покрытий и подпорных стенок Москворецкой набережной.( S = 1889,1 м2 + 506,82 м2).</v>
          </cell>
        </row>
        <row r="1195">
          <cell r="G1195" t="str">
            <v>Уход за подпорными гранитными стенками. ( S=3271,02 м2 )</v>
          </cell>
        </row>
        <row r="1199">
          <cell r="F1199" t="str">
            <v>калькуляция</v>
          </cell>
          <cell r="G1199" t="str">
            <v>Очистка от снега подпорных стенок</v>
          </cell>
          <cell r="H1199" t="str">
            <v>м2</v>
          </cell>
          <cell r="I1199">
            <v>3271.02</v>
          </cell>
          <cell r="S1199">
            <v>112850.19</v>
          </cell>
          <cell r="X1199">
            <v>0</v>
          </cell>
          <cell r="Y1199">
            <v>0</v>
          </cell>
          <cell r="AE1199">
            <v>0</v>
          </cell>
          <cell r="AF1199">
            <v>34.5</v>
          </cell>
          <cell r="AO1199">
            <v>3.45</v>
          </cell>
          <cell r="AV1199">
            <v>1</v>
          </cell>
          <cell r="BA1199">
            <v>1</v>
          </cell>
          <cell r="BZ1199">
            <v>0</v>
          </cell>
          <cell r="CA1199">
            <v>0</v>
          </cell>
          <cell r="CS1199">
            <v>0</v>
          </cell>
          <cell r="DG1199" t="str">
            <v>)*1*10</v>
          </cell>
        </row>
        <row r="1201">
          <cell r="G1201" t="str">
            <v>Уход за подпорными гранитными стенками. ( S=3271,02 м2 )</v>
          </cell>
        </row>
        <row r="1231">
          <cell r="G1231" t="str">
            <v>Уход за ограждениями бетонными, обшитых деревом ( S=1050 м2)</v>
          </cell>
        </row>
        <row r="1235">
          <cell r="F1235" t="str">
            <v>калькуляция</v>
          </cell>
          <cell r="G1235" t="str">
            <v>Очистка от снега тумб бетонных обшитых деревом</v>
          </cell>
          <cell r="H1235" t="str">
            <v>м2</v>
          </cell>
          <cell r="I1235">
            <v>1050</v>
          </cell>
          <cell r="S1235">
            <v>305172</v>
          </cell>
          <cell r="X1235">
            <v>0</v>
          </cell>
          <cell r="Y1235">
            <v>0</v>
          </cell>
          <cell r="AE1235">
            <v>0</v>
          </cell>
          <cell r="AF1235">
            <v>290.64</v>
          </cell>
          <cell r="AO1235">
            <v>1.73</v>
          </cell>
          <cell r="AV1235">
            <v>1</v>
          </cell>
          <cell r="BA1235">
            <v>1</v>
          </cell>
          <cell r="BZ1235">
            <v>0</v>
          </cell>
          <cell r="CA1235">
            <v>0</v>
          </cell>
          <cell r="CS1235">
            <v>0</v>
          </cell>
          <cell r="DG1235" t="str">
            <v>)*1*168</v>
          </cell>
        </row>
        <row r="1237">
          <cell r="G1237" t="str">
            <v>Уход за ограждениями бетонными, обшитых деревом ( S=1050 м2)</v>
          </cell>
        </row>
        <row r="1267">
          <cell r="G1267" t="str">
            <v>Уход за поручнями и  ограждениями со стеклянными вставками</v>
          </cell>
        </row>
        <row r="1271">
          <cell r="F1271" t="str">
            <v>калькуляция</v>
          </cell>
          <cell r="G1271" t="str">
            <v>Уход за поручнями из нержавеющей  стали и металлическими поверхностями ограждений со стеклянными вставками</v>
          </cell>
          <cell r="H1271" t="str">
            <v>м</v>
          </cell>
          <cell r="I1271">
            <v>2596.8000000000002</v>
          </cell>
          <cell r="S1271">
            <v>122153.47</v>
          </cell>
          <cell r="X1271">
            <v>0</v>
          </cell>
          <cell r="Y1271">
            <v>0</v>
          </cell>
          <cell r="AE1271">
            <v>0</v>
          </cell>
          <cell r="AF1271">
            <v>47.04</v>
          </cell>
          <cell r="AO1271">
            <v>0.28000000000000003</v>
          </cell>
          <cell r="AV1271">
            <v>1</v>
          </cell>
          <cell r="BA1271">
            <v>1</v>
          </cell>
          <cell r="BZ1271">
            <v>0</v>
          </cell>
          <cell r="CA1271">
            <v>0</v>
          </cell>
          <cell r="CS1271">
            <v>0</v>
          </cell>
          <cell r="DG1271" t="str">
            <v>)*1*168</v>
          </cell>
        </row>
        <row r="1272">
          <cell r="F1272" t="str">
            <v>цена поставщика</v>
          </cell>
          <cell r="G1272" t="str">
            <v>Средство моющее незамерзающее для протирки Биомол АД-У</v>
          </cell>
          <cell r="H1272" t="str">
            <v>л</v>
          </cell>
          <cell r="I1272">
            <v>87.252480000000006</v>
          </cell>
          <cell r="O1272">
            <v>20659.64</v>
          </cell>
          <cell r="X1272">
            <v>0</v>
          </cell>
          <cell r="Y1272">
            <v>0</v>
          </cell>
          <cell r="AE1272">
            <v>0</v>
          </cell>
          <cell r="AF1272">
            <v>0</v>
          </cell>
          <cell r="AK1272">
            <v>236.78</v>
          </cell>
          <cell r="AV1272">
            <v>1</v>
          </cell>
          <cell r="AW1272">
            <v>1</v>
          </cell>
          <cell r="BC1272">
            <v>1</v>
          </cell>
          <cell r="BZ1272">
            <v>0</v>
          </cell>
          <cell r="CA1272">
            <v>0</v>
          </cell>
          <cell r="CS1272">
            <v>0</v>
          </cell>
        </row>
        <row r="1274">
          <cell r="G1274" t="str">
            <v>Уход за поручнями и  ограждениями со стеклянными вставками</v>
          </cell>
        </row>
        <row r="1304">
          <cell r="G1304" t="str">
            <v>Уход за ограждениями эвакуационных выходов ( S=438,36 м2)</v>
          </cell>
        </row>
        <row r="1308">
          <cell r="F1308" t="str">
            <v>цена поставщика</v>
          </cell>
          <cell r="G1308" t="str">
            <v>Очистка от снега и наледи поверхности ограждения ручным способом</v>
          </cell>
          <cell r="H1308" t="str">
            <v>м2</v>
          </cell>
          <cell r="I1308">
            <v>438.36</v>
          </cell>
          <cell r="S1308">
            <v>107941.77</v>
          </cell>
          <cell r="X1308">
            <v>0</v>
          </cell>
          <cell r="Y1308">
            <v>0</v>
          </cell>
          <cell r="AE1308">
            <v>0</v>
          </cell>
          <cell r="AF1308">
            <v>246.24</v>
          </cell>
          <cell r="AO1308">
            <v>5.13</v>
          </cell>
          <cell r="AV1308">
            <v>1</v>
          </cell>
          <cell r="BA1308">
            <v>1</v>
          </cell>
          <cell r="BZ1308">
            <v>0</v>
          </cell>
          <cell r="CA1308">
            <v>0</v>
          </cell>
          <cell r="CS1308">
            <v>0</v>
          </cell>
          <cell r="DG1308" t="str">
            <v>)*1*48</v>
          </cell>
        </row>
        <row r="1310">
          <cell r="G1310" t="str">
            <v>Уход за ограждениями эвакуационных выходов ( S=438,36 м2)</v>
          </cell>
        </row>
        <row r="1340">
          <cell r="G1340" t="str">
            <v>Содержание покрытий "Варьиной площади" + Москворецкая улица ( S= 6574,7 м2 ).</v>
          </cell>
        </row>
        <row r="1344">
          <cell r="F1344" t="str">
            <v>калькуляция</v>
          </cell>
          <cell r="G1344" t="str">
            <v>Подметание  механизированным способом ( S=6574,7 м2 *0,7=4602,29 м2)</v>
          </cell>
          <cell r="H1344" t="str">
            <v>м2</v>
          </cell>
          <cell r="I1344">
            <v>4602.29</v>
          </cell>
          <cell r="Q1344">
            <v>1962416.46</v>
          </cell>
          <cell r="X1344">
            <v>0</v>
          </cell>
          <cell r="Y1344">
            <v>0</v>
          </cell>
          <cell r="AE1344">
            <v>0</v>
          </cell>
          <cell r="AF1344">
            <v>0</v>
          </cell>
          <cell r="AM1344">
            <v>0.65</v>
          </cell>
          <cell r="AV1344">
            <v>1</v>
          </cell>
          <cell r="BB1344">
            <v>1</v>
          </cell>
          <cell r="BZ1344">
            <v>0</v>
          </cell>
          <cell r="CA1344">
            <v>0</v>
          </cell>
          <cell r="CS1344">
            <v>0</v>
          </cell>
          <cell r="DE1344" t="str">
            <v>*4*164</v>
          </cell>
        </row>
        <row r="1345">
          <cell r="F1345" t="str">
            <v>калькуляция</v>
          </cell>
          <cell r="G1345" t="str">
            <v>Подметание дорожек  вручную ( S=6574,7 м2*0,3=1972,41 м2)</v>
          </cell>
          <cell r="H1345" t="str">
            <v>м2</v>
          </cell>
          <cell r="I1345">
            <v>1972.41</v>
          </cell>
          <cell r="S1345">
            <v>1707949.27</v>
          </cell>
          <cell r="X1345">
            <v>0</v>
          </cell>
          <cell r="Y1345">
            <v>0</v>
          </cell>
          <cell r="AE1345">
            <v>0</v>
          </cell>
          <cell r="AF1345">
            <v>865.92</v>
          </cell>
          <cell r="AO1345">
            <v>1.32</v>
          </cell>
          <cell r="AV1345">
            <v>1</v>
          </cell>
          <cell r="BA1345">
            <v>1</v>
          </cell>
          <cell r="BZ1345">
            <v>0</v>
          </cell>
          <cell r="CA1345">
            <v>0</v>
          </cell>
          <cell r="CS1345">
            <v>0</v>
          </cell>
          <cell r="DG1345" t="str">
            <v>*4*164</v>
          </cell>
        </row>
        <row r="1346">
          <cell r="F1346" t="str">
            <v>калькуляция</v>
          </cell>
          <cell r="G1346" t="str">
            <v>Мытье дорожек  механизированным способом( 30% от 6574,7 м2)</v>
          </cell>
          <cell r="H1346" t="str">
            <v>м2</v>
          </cell>
          <cell r="I1346">
            <v>1972.41</v>
          </cell>
          <cell r="Q1346">
            <v>1060998.79</v>
          </cell>
          <cell r="X1346">
            <v>0</v>
          </cell>
          <cell r="Y1346">
            <v>0</v>
          </cell>
          <cell r="AE1346">
            <v>0</v>
          </cell>
          <cell r="AF1346">
            <v>0</v>
          </cell>
          <cell r="AM1346">
            <v>3.28</v>
          </cell>
          <cell r="AV1346">
            <v>1</v>
          </cell>
          <cell r="BB1346">
            <v>1</v>
          </cell>
          <cell r="BZ1346">
            <v>0</v>
          </cell>
          <cell r="CA1346">
            <v>0</v>
          </cell>
          <cell r="CS1346">
            <v>0</v>
          </cell>
          <cell r="DE1346" t="str">
            <v>)*1*164</v>
          </cell>
        </row>
        <row r="1347">
          <cell r="F1347" t="str">
            <v>цена поставщика</v>
          </cell>
          <cell r="G1347" t="str">
            <v>Средство для механизированной мойки дорожных покрытий в зимнее время -ПГМ Жидкий хлористый кальций</v>
          </cell>
          <cell r="H1347" t="str">
            <v>л</v>
          </cell>
          <cell r="I1347">
            <v>97.042572000000007</v>
          </cell>
          <cell r="O1347">
            <v>1142.19</v>
          </cell>
          <cell r="X1347">
            <v>0</v>
          </cell>
          <cell r="Y1347">
            <v>0</v>
          </cell>
          <cell r="AE1347">
            <v>0</v>
          </cell>
          <cell r="AF1347">
            <v>0</v>
          </cell>
          <cell r="AK1347">
            <v>11.77</v>
          </cell>
          <cell r="AV1347">
            <v>1</v>
          </cell>
          <cell r="AW1347">
            <v>1</v>
          </cell>
          <cell r="BC1347">
            <v>1</v>
          </cell>
          <cell r="BZ1347">
            <v>0</v>
          </cell>
          <cell r="CA1347">
            <v>0</v>
          </cell>
          <cell r="CS1347">
            <v>0</v>
          </cell>
        </row>
        <row r="1348">
          <cell r="F1348" t="str">
            <v>5.3-1102-12-1/1</v>
          </cell>
          <cell r="G1348" t="str">
            <v>Уборка снега средствами малой механизации ( 6574,7м2 *0,7 = 4602,29 м2)</v>
          </cell>
          <cell r="H1348" t="str">
            <v>1000 м2</v>
          </cell>
          <cell r="I1348">
            <v>4.60229</v>
          </cell>
          <cell r="Q1348">
            <v>2190401.38</v>
          </cell>
          <cell r="R1348">
            <v>729824.52</v>
          </cell>
          <cell r="X1348">
            <v>0</v>
          </cell>
          <cell r="Y1348">
            <v>0</v>
          </cell>
          <cell r="AE1348">
            <v>158578.56</v>
          </cell>
          <cell r="AF1348">
            <v>0</v>
          </cell>
          <cell r="AM1348">
            <v>708.24</v>
          </cell>
          <cell r="AN1348">
            <v>235.98</v>
          </cell>
          <cell r="AV1348">
            <v>1</v>
          </cell>
          <cell r="BB1348">
            <v>1</v>
          </cell>
          <cell r="BS1348">
            <v>1</v>
          </cell>
          <cell r="BZ1348">
            <v>70</v>
          </cell>
          <cell r="CA1348">
            <v>10</v>
          </cell>
          <cell r="CS1348">
            <v>158578.56</v>
          </cell>
          <cell r="DE1348" t="str">
            <v>*4*168</v>
          </cell>
          <cell r="DF1348" t="str">
            <v>*4*168</v>
          </cell>
        </row>
        <row r="1349">
          <cell r="F1349" t="str">
            <v>5.3-1102-8-1/1</v>
          </cell>
          <cell r="G1349" t="str">
            <v>Уборка свежевыпавшего снега вручную толщиной слоя до 10 см ( 6574,7 м2 * 0,1*0.7*0,5 = 230,11 м2 )</v>
          </cell>
          <cell r="H1349" t="str">
            <v>100 м2</v>
          </cell>
          <cell r="I1349">
            <v>2.3010999999999999</v>
          </cell>
          <cell r="S1349">
            <v>249192.56</v>
          </cell>
          <cell r="U1349">
            <v>1005.12048</v>
          </cell>
          <cell r="X1349">
            <v>174434.79</v>
          </cell>
          <cell r="Y1349">
            <v>24919.26</v>
          </cell>
          <cell r="AE1349">
            <v>0</v>
          </cell>
          <cell r="AF1349">
            <v>108292.8</v>
          </cell>
          <cell r="AO1349">
            <v>161.15</v>
          </cell>
          <cell r="AQ1349">
            <v>0.65</v>
          </cell>
          <cell r="AT1349">
            <v>70</v>
          </cell>
          <cell r="AU1349">
            <v>10</v>
          </cell>
          <cell r="AV1349">
            <v>1</v>
          </cell>
          <cell r="BA1349">
            <v>1</v>
          </cell>
          <cell r="BZ1349">
            <v>70</v>
          </cell>
          <cell r="CA1349">
            <v>10</v>
          </cell>
          <cell r="CS1349">
            <v>0</v>
          </cell>
          <cell r="DG1349" t="str">
            <v>*4*168</v>
          </cell>
          <cell r="DI1349" t="str">
            <v>*4*168</v>
          </cell>
        </row>
        <row r="1350">
          <cell r="F1350" t="str">
            <v>5.3-1102-8-3/1</v>
          </cell>
          <cell r="G1350" t="str">
            <v>Уборка слежавшегося снега вручную(S=6574,7 м2*0,1*0,7*0,5=230,11м2)</v>
          </cell>
          <cell r="H1350" t="str">
            <v>100 м2</v>
          </cell>
          <cell r="I1350">
            <v>2.3010999999999999</v>
          </cell>
          <cell r="S1350">
            <v>146643.21</v>
          </cell>
          <cell r="U1350">
            <v>591.47474399999999</v>
          </cell>
          <cell r="X1350">
            <v>102650.25</v>
          </cell>
          <cell r="Y1350">
            <v>14664.32</v>
          </cell>
          <cell r="AE1350">
            <v>0</v>
          </cell>
          <cell r="AF1350">
            <v>63727.44</v>
          </cell>
          <cell r="AO1350">
            <v>379.33</v>
          </cell>
          <cell r="AQ1350">
            <v>1.53</v>
          </cell>
          <cell r="AT1350">
            <v>70</v>
          </cell>
          <cell r="AU1350">
            <v>10</v>
          </cell>
          <cell r="AV1350">
            <v>1</v>
          </cell>
          <cell r="BA1350">
            <v>1</v>
          </cell>
          <cell r="BZ1350">
            <v>70</v>
          </cell>
          <cell r="CA1350">
            <v>10</v>
          </cell>
          <cell r="CS1350">
            <v>0</v>
          </cell>
          <cell r="DG1350" t="str">
            <v>)*1*168</v>
          </cell>
          <cell r="DI1350" t="str">
            <v>)*1*168</v>
          </cell>
        </row>
        <row r="1351">
          <cell r="F1351" t="str">
            <v>5.3-1102-8-1/1</v>
          </cell>
          <cell r="G1351" t="str">
            <v>Уборка свежевыпавшего снега вручную толщиной слоя до 10 см ( 6574,7 м2 * 0,1*0.3 *0,5= 98,62 м2 )</v>
          </cell>
          <cell r="H1351" t="str">
            <v>100 м2</v>
          </cell>
          <cell r="I1351">
            <v>0.98619999999999997</v>
          </cell>
          <cell r="S1351">
            <v>106798.36</v>
          </cell>
          <cell r="U1351">
            <v>430.77215999999999</v>
          </cell>
          <cell r="X1351">
            <v>74758.850000000006</v>
          </cell>
          <cell r="Y1351">
            <v>10679.84</v>
          </cell>
          <cell r="AE1351">
            <v>0</v>
          </cell>
          <cell r="AF1351">
            <v>108292.8</v>
          </cell>
          <cell r="AO1351">
            <v>161.15</v>
          </cell>
          <cell r="AQ1351">
            <v>0.65</v>
          </cell>
          <cell r="AT1351">
            <v>70</v>
          </cell>
          <cell r="AU1351">
            <v>10</v>
          </cell>
          <cell r="AV1351">
            <v>1</v>
          </cell>
          <cell r="BA1351">
            <v>1</v>
          </cell>
          <cell r="BZ1351">
            <v>70</v>
          </cell>
          <cell r="CA1351">
            <v>10</v>
          </cell>
          <cell r="CS1351">
            <v>0</v>
          </cell>
          <cell r="DG1351" t="str">
            <v>*4*168</v>
          </cell>
          <cell r="DI1351" t="str">
            <v>*4*168</v>
          </cell>
        </row>
        <row r="1352">
          <cell r="F1352" t="str">
            <v>5.3-1102-8-2/1</v>
          </cell>
          <cell r="G1352" t="str">
            <v>Уборка свежевыпавшего снега вручную, добавлять на каждые следующие 10 см увеличения толщины слоя</v>
          </cell>
          <cell r="H1352" t="str">
            <v>100 м2</v>
          </cell>
          <cell r="I1352">
            <v>0.98619999999999997</v>
          </cell>
          <cell r="S1352">
            <v>77227.509999999995</v>
          </cell>
          <cell r="U1352">
            <v>311.48140799999999</v>
          </cell>
          <cell r="X1352">
            <v>54059.26</v>
          </cell>
          <cell r="Y1352">
            <v>7722.75</v>
          </cell>
          <cell r="AE1352">
            <v>0</v>
          </cell>
          <cell r="AF1352">
            <v>78308.160000000003</v>
          </cell>
          <cell r="AO1352">
            <v>116.53</v>
          </cell>
          <cell r="AQ1352">
            <v>0.47</v>
          </cell>
          <cell r="AT1352">
            <v>70</v>
          </cell>
          <cell r="AU1352">
            <v>10</v>
          </cell>
          <cell r="AV1352">
            <v>1</v>
          </cell>
          <cell r="BA1352">
            <v>1</v>
          </cell>
          <cell r="BZ1352">
            <v>70</v>
          </cell>
          <cell r="CA1352">
            <v>10</v>
          </cell>
          <cell r="CS1352">
            <v>0</v>
          </cell>
          <cell r="DG1352" t="str">
            <v>*4*168</v>
          </cell>
          <cell r="DI1352" t="str">
            <v>*4*168</v>
          </cell>
        </row>
        <row r="1353">
          <cell r="F1353" t="str">
            <v>5.3-1102-24-1/1</v>
          </cell>
          <cell r="G1353" t="str">
            <v>Уборка свежевыпавшего снега ручной самоходной машиной - ширина захвата 120 см ( S=6574,7 м2*0,2=1314,94 м2)</v>
          </cell>
          <cell r="H1353" t="str">
            <v>100 м2</v>
          </cell>
          <cell r="I1353">
            <v>13.1494</v>
          </cell>
          <cell r="Q1353">
            <v>300172.40000000002</v>
          </cell>
          <cell r="R1353">
            <v>795.28</v>
          </cell>
          <cell r="S1353">
            <v>857660.67</v>
          </cell>
          <cell r="U1353">
            <v>3092.7388799999999</v>
          </cell>
          <cell r="X1353">
            <v>600362.47</v>
          </cell>
          <cell r="Y1353">
            <v>85766.07</v>
          </cell>
          <cell r="AE1353">
            <v>60.48</v>
          </cell>
          <cell r="AF1353">
            <v>65224.32</v>
          </cell>
          <cell r="AM1353">
            <v>33.97</v>
          </cell>
          <cell r="AN1353">
            <v>0.09</v>
          </cell>
          <cell r="AO1353">
            <v>97.06</v>
          </cell>
          <cell r="AQ1353">
            <v>0.35</v>
          </cell>
          <cell r="AT1353">
            <v>70</v>
          </cell>
          <cell r="AU1353">
            <v>10</v>
          </cell>
          <cell r="AV1353">
            <v>1</v>
          </cell>
          <cell r="BA1353">
            <v>1</v>
          </cell>
          <cell r="BB1353">
            <v>1</v>
          </cell>
          <cell r="BS1353">
            <v>1</v>
          </cell>
          <cell r="BZ1353">
            <v>70</v>
          </cell>
          <cell r="CA1353">
            <v>10</v>
          </cell>
          <cell r="CS1353">
            <v>60.48</v>
          </cell>
          <cell r="DE1353" t="str">
            <v>*4*168</v>
          </cell>
          <cell r="DF1353" t="str">
            <v>*4*168</v>
          </cell>
          <cell r="DG1353" t="str">
            <v>*4*168</v>
          </cell>
          <cell r="DI1353" t="str">
            <v>*4*168</v>
          </cell>
        </row>
        <row r="1354">
          <cell r="F1354" t="str">
            <v>5.3-1102-9-1/1</v>
          </cell>
          <cell r="G1354" t="str">
            <v>Колка льда на обледеневших покрытиях вручную ( S=6574,7 м2*0,1*0,3*0,5= 98,62 м2)</v>
          </cell>
          <cell r="H1354" t="str">
            <v>100 м2</v>
          </cell>
          <cell r="I1354">
            <v>0.98619999999999997</v>
          </cell>
          <cell r="S1354">
            <v>197992.83</v>
          </cell>
          <cell r="U1354">
            <v>798.58531199999993</v>
          </cell>
          <cell r="X1354">
            <v>138594.98000000001</v>
          </cell>
          <cell r="Y1354">
            <v>19799.28</v>
          </cell>
          <cell r="AE1354">
            <v>0</v>
          </cell>
          <cell r="AF1354">
            <v>200763.36</v>
          </cell>
          <cell r="AO1354">
            <v>597.51</v>
          </cell>
          <cell r="AQ1354">
            <v>2.41</v>
          </cell>
          <cell r="AT1354">
            <v>70</v>
          </cell>
          <cell r="AU1354">
            <v>10</v>
          </cell>
          <cell r="AV1354">
            <v>1</v>
          </cell>
          <cell r="BA1354">
            <v>1</v>
          </cell>
          <cell r="BZ1354">
            <v>70</v>
          </cell>
          <cell r="CA1354">
            <v>10</v>
          </cell>
          <cell r="CS1354">
            <v>0</v>
          </cell>
          <cell r="DG1354" t="str">
            <v>)*2*168</v>
          </cell>
          <cell r="DI1354" t="str">
            <v>)*2*168</v>
          </cell>
        </row>
        <row r="1355">
          <cell r="F1355" t="str">
            <v>калькуляция</v>
          </cell>
          <cell r="G1355" t="str">
            <v>Посыпка  гранитной крошкой дорожных покрытий средствами малой механизации( расход крошки 100 г/м2)</v>
          </cell>
          <cell r="H1355" t="str">
            <v>м2</v>
          </cell>
          <cell r="I1355">
            <v>4602.29</v>
          </cell>
          <cell r="Q1355">
            <v>1020603.83</v>
          </cell>
          <cell r="X1355">
            <v>0</v>
          </cell>
          <cell r="Y1355">
            <v>0</v>
          </cell>
          <cell r="AE1355">
            <v>0</v>
          </cell>
          <cell r="AF1355">
            <v>0</v>
          </cell>
          <cell r="AM1355">
            <v>0.33</v>
          </cell>
          <cell r="AV1355">
            <v>1</v>
          </cell>
          <cell r="BB1355">
            <v>1</v>
          </cell>
          <cell r="BZ1355">
            <v>0</v>
          </cell>
          <cell r="CA1355">
            <v>0</v>
          </cell>
          <cell r="CS1355">
            <v>0</v>
          </cell>
          <cell r="DE1355" t="str">
            <v>*4*168</v>
          </cell>
        </row>
        <row r="1356">
          <cell r="F1356" t="str">
            <v>цена поставщика</v>
          </cell>
          <cell r="G1356" t="str">
            <v>Крошка гранитная</v>
          </cell>
          <cell r="H1356" t="str">
            <v>кг</v>
          </cell>
          <cell r="I1356">
            <v>309273.88799999992</v>
          </cell>
          <cell r="O1356">
            <v>1370083.32</v>
          </cell>
          <cell r="X1356">
            <v>0</v>
          </cell>
          <cell r="Y1356">
            <v>0</v>
          </cell>
          <cell r="AE1356">
            <v>0</v>
          </cell>
          <cell r="AF1356">
            <v>0</v>
          </cell>
          <cell r="AK1356">
            <v>4.43</v>
          </cell>
          <cell r="AV1356">
            <v>1</v>
          </cell>
          <cell r="AW1356">
            <v>1</v>
          </cell>
          <cell r="BC1356">
            <v>1</v>
          </cell>
          <cell r="BZ1356">
            <v>0</v>
          </cell>
          <cell r="CA1356">
            <v>0</v>
          </cell>
          <cell r="CS1356">
            <v>0</v>
          </cell>
        </row>
        <row r="1357">
          <cell r="F1357" t="str">
            <v>калькуляция</v>
          </cell>
          <cell r="G1357" t="str">
            <v>Посыпка гранитной крошкой  дорожных покрытий вручную( 100г/м2 )</v>
          </cell>
          <cell r="H1357" t="str">
            <v>м2</v>
          </cell>
          <cell r="I1357">
            <v>1972.41</v>
          </cell>
          <cell r="S1357">
            <v>2756955.8</v>
          </cell>
          <cell r="X1357">
            <v>0</v>
          </cell>
          <cell r="Y1357">
            <v>0</v>
          </cell>
          <cell r="AE1357">
            <v>0</v>
          </cell>
          <cell r="AF1357">
            <v>1397.76</v>
          </cell>
          <cell r="AO1357">
            <v>2.08</v>
          </cell>
          <cell r="AV1357">
            <v>1</v>
          </cell>
          <cell r="BA1357">
            <v>1</v>
          </cell>
          <cell r="BZ1357">
            <v>0</v>
          </cell>
          <cell r="CA1357">
            <v>0</v>
          </cell>
          <cell r="CS1357">
            <v>0</v>
          </cell>
          <cell r="DG1357" t="str">
            <v>*4*168</v>
          </cell>
        </row>
        <row r="1358">
          <cell r="F1358" t="str">
            <v>цена поставщика</v>
          </cell>
          <cell r="G1358" t="str">
            <v>Крошка гранитная</v>
          </cell>
          <cell r="H1358" t="str">
            <v>кг</v>
          </cell>
          <cell r="I1358">
            <v>132545.95199999999</v>
          </cell>
          <cell r="O1358">
            <v>587178.56999999995</v>
          </cell>
          <cell r="X1358">
            <v>0</v>
          </cell>
          <cell r="Y1358">
            <v>0</v>
          </cell>
          <cell r="AE1358">
            <v>0</v>
          </cell>
          <cell r="AF1358">
            <v>0</v>
          </cell>
          <cell r="AK1358">
            <v>4.43</v>
          </cell>
          <cell r="AV1358">
            <v>1</v>
          </cell>
          <cell r="AW1358">
            <v>1</v>
          </cell>
          <cell r="BC1358">
            <v>1</v>
          </cell>
          <cell r="BZ1358">
            <v>0</v>
          </cell>
          <cell r="CA1358">
            <v>0</v>
          </cell>
          <cell r="CS1358">
            <v>0</v>
          </cell>
        </row>
        <row r="1359">
          <cell r="F1359" t="str">
            <v>5.4-1201-1-1/1</v>
          </cell>
          <cell r="G1359" t="str">
            <v>Сбор случайного мусора по территории</v>
          </cell>
          <cell r="H1359" t="str">
            <v>100 м2</v>
          </cell>
          <cell r="I1359">
            <v>65.747</v>
          </cell>
          <cell r="P1359">
            <v>60245.29</v>
          </cell>
          <cell r="S1359">
            <v>1082669</v>
          </cell>
          <cell r="U1359">
            <v>4365.6008000000002</v>
          </cell>
          <cell r="X1359">
            <v>757868.3</v>
          </cell>
          <cell r="Y1359">
            <v>108266.9</v>
          </cell>
          <cell r="AE1359">
            <v>0</v>
          </cell>
          <cell r="AF1359">
            <v>16467.2</v>
          </cell>
          <cell r="AL1359">
            <v>0.69</v>
          </cell>
          <cell r="AO1359">
            <v>12.4</v>
          </cell>
          <cell r="AQ1359">
            <v>0.05</v>
          </cell>
          <cell r="AT1359">
            <v>70</v>
          </cell>
          <cell r="AU1359">
            <v>10</v>
          </cell>
          <cell r="AV1359">
            <v>1</v>
          </cell>
          <cell r="AW1359">
            <v>1</v>
          </cell>
          <cell r="BA1359">
            <v>1</v>
          </cell>
          <cell r="BC1359">
            <v>1</v>
          </cell>
          <cell r="BZ1359">
            <v>70</v>
          </cell>
          <cell r="CA1359">
            <v>10</v>
          </cell>
          <cell r="CS1359">
            <v>0</v>
          </cell>
          <cell r="DD1359" t="str">
            <v>)*4*332</v>
          </cell>
          <cell r="DG1359" t="str">
            <v>)*4*332</v>
          </cell>
          <cell r="DI1359" t="str">
            <v>)*4*332</v>
          </cell>
        </row>
        <row r="1361">
          <cell r="G1361" t="str">
            <v>Содержание покрытий "Варьиной площади" + Москворецкая улица ( S= 6574,7 м2 ).</v>
          </cell>
        </row>
        <row r="1391">
          <cell r="G1391" t="str">
            <v>Уход за водотводными лотками.( 1480,34 м )</v>
          </cell>
        </row>
        <row r="1395">
          <cell r="F1395" t="str">
            <v>5.3-1102-26-1/1</v>
          </cell>
          <cell r="G1395" t="str">
            <v>Очистка лотков с решетками от снега, сечение лотка 100 см2, количество креплений решеток 20 шт.(  сечение 100 см2)</v>
          </cell>
          <cell r="H1395" t="str">
            <v>10 м</v>
          </cell>
          <cell r="I1395">
            <v>7.3330000000000002</v>
          </cell>
          <cell r="S1395">
            <v>30097.57</v>
          </cell>
          <cell r="U1395">
            <v>108.5284</v>
          </cell>
          <cell r="X1395">
            <v>21068.3</v>
          </cell>
          <cell r="Y1395">
            <v>3009.76</v>
          </cell>
          <cell r="AE1395">
            <v>0</v>
          </cell>
          <cell r="AF1395">
            <v>4104.3999999999996</v>
          </cell>
          <cell r="AO1395">
            <v>205.22</v>
          </cell>
          <cell r="AQ1395">
            <v>0.74</v>
          </cell>
          <cell r="AT1395">
            <v>70</v>
          </cell>
          <cell r="AU1395">
            <v>10</v>
          </cell>
          <cell r="AV1395">
            <v>1</v>
          </cell>
          <cell r="BA1395">
            <v>1</v>
          </cell>
          <cell r="BZ1395">
            <v>70</v>
          </cell>
          <cell r="CA1395">
            <v>10</v>
          </cell>
          <cell r="CS1395">
            <v>0</v>
          </cell>
          <cell r="DG1395" t="str">
            <v>)*1*20</v>
          </cell>
          <cell r="DI1395" t="str">
            <v>)*1*20</v>
          </cell>
        </row>
        <row r="1396">
          <cell r="F1396" t="str">
            <v>5.3-1102-26-1/1</v>
          </cell>
          <cell r="G1396" t="str">
            <v>Очистка лотков с решетками от снега, сечение лотка 100 см2, количество креплений решеток 20 шт.(  сечение 140 см2)</v>
          </cell>
          <cell r="H1396" t="str">
            <v>10 м</v>
          </cell>
          <cell r="I1396">
            <v>12.739000000000001</v>
          </cell>
          <cell r="S1396">
            <v>52285.95</v>
          </cell>
          <cell r="U1396">
            <v>188.53720000000001</v>
          </cell>
          <cell r="X1396">
            <v>36600.17</v>
          </cell>
          <cell r="Y1396">
            <v>5228.6000000000004</v>
          </cell>
          <cell r="AE1396">
            <v>0</v>
          </cell>
          <cell r="AF1396">
            <v>4104.3999999999996</v>
          </cell>
          <cell r="AO1396">
            <v>205.22</v>
          </cell>
          <cell r="AQ1396">
            <v>0.74</v>
          </cell>
          <cell r="AT1396">
            <v>70</v>
          </cell>
          <cell r="AU1396">
            <v>10</v>
          </cell>
          <cell r="AV1396">
            <v>1</v>
          </cell>
          <cell r="BA1396">
            <v>1</v>
          </cell>
          <cell r="BZ1396">
            <v>70</v>
          </cell>
          <cell r="CA1396">
            <v>10</v>
          </cell>
          <cell r="CS1396">
            <v>0</v>
          </cell>
          <cell r="DG1396" t="str">
            <v>)*1*20</v>
          </cell>
          <cell r="DI1396" t="str">
            <v>)*1*20</v>
          </cell>
        </row>
        <row r="1397">
          <cell r="F1397" t="str">
            <v>5.3-1102-26-2/1</v>
          </cell>
          <cell r="G1397" t="str">
            <v>Очистка лотков с решетками от снега, добавлять к 3-1102-26-1 на каждые 100 см2 изменения сечения лотка</v>
          </cell>
          <cell r="H1397" t="str">
            <v>10 м</v>
          </cell>
          <cell r="I1397">
            <v>12.739000000000001</v>
          </cell>
          <cell r="S1397">
            <v>2261.4299999999998</v>
          </cell>
          <cell r="U1397">
            <v>8.1529600000000002</v>
          </cell>
          <cell r="X1397">
            <v>1583</v>
          </cell>
          <cell r="Y1397">
            <v>226.14</v>
          </cell>
          <cell r="AE1397">
            <v>0</v>
          </cell>
          <cell r="AF1397">
            <v>177.52</v>
          </cell>
          <cell r="AO1397">
            <v>22.19</v>
          </cell>
          <cell r="AQ1397">
            <v>0.08</v>
          </cell>
          <cell r="AT1397">
            <v>70</v>
          </cell>
          <cell r="AU1397">
            <v>10</v>
          </cell>
          <cell r="AV1397">
            <v>1</v>
          </cell>
          <cell r="BA1397">
            <v>1</v>
          </cell>
          <cell r="BZ1397">
            <v>70</v>
          </cell>
          <cell r="CA1397">
            <v>10</v>
          </cell>
          <cell r="CS1397">
            <v>0</v>
          </cell>
          <cell r="DG1397" t="str">
            <v>)*1*0,4*20</v>
          </cell>
          <cell r="DI1397" t="str">
            <v>)*1*0,4*20</v>
          </cell>
        </row>
        <row r="1398">
          <cell r="F1398" t="str">
            <v>5.3-1102-26-1/1</v>
          </cell>
          <cell r="G1398" t="str">
            <v>Очистка лотков с решетками от снега, сечение лотка 100 см2, количество креплений решеток 20 шт.(  сечение  175 см2)</v>
          </cell>
          <cell r="H1398" t="str">
            <v>10 м</v>
          </cell>
          <cell r="I1398">
            <v>11.05</v>
          </cell>
          <cell r="S1398">
            <v>45353.62</v>
          </cell>
          <cell r="U1398">
            <v>163.54000000000002</v>
          </cell>
          <cell r="X1398">
            <v>31747.53</v>
          </cell>
          <cell r="Y1398">
            <v>4535.3599999999997</v>
          </cell>
          <cell r="AE1398">
            <v>0</v>
          </cell>
          <cell r="AF1398">
            <v>4104.3999999999996</v>
          </cell>
          <cell r="AO1398">
            <v>205.22</v>
          </cell>
          <cell r="AQ1398">
            <v>0.74</v>
          </cell>
          <cell r="AT1398">
            <v>70</v>
          </cell>
          <cell r="AU1398">
            <v>10</v>
          </cell>
          <cell r="AV1398">
            <v>1</v>
          </cell>
          <cell r="BA1398">
            <v>1</v>
          </cell>
          <cell r="BZ1398">
            <v>70</v>
          </cell>
          <cell r="CA1398">
            <v>10</v>
          </cell>
          <cell r="CS1398">
            <v>0</v>
          </cell>
          <cell r="DG1398" t="str">
            <v>)*1*20</v>
          </cell>
          <cell r="DI1398" t="str">
            <v>)*1*20</v>
          </cell>
        </row>
        <row r="1399">
          <cell r="F1399" t="str">
            <v>5.3-1102-26-2/1</v>
          </cell>
          <cell r="G1399" t="str">
            <v>Очистка лотков с решетками от снега, добавлять к 3-1102-26-1 на каждые 100 см2 изменения сечения лотка</v>
          </cell>
          <cell r="H1399" t="str">
            <v>10 м</v>
          </cell>
          <cell r="I1399">
            <v>11.05</v>
          </cell>
          <cell r="S1399">
            <v>3677.99</v>
          </cell>
          <cell r="U1399">
            <v>13.26</v>
          </cell>
          <cell r="X1399">
            <v>2574.59</v>
          </cell>
          <cell r="Y1399">
            <v>367.8</v>
          </cell>
          <cell r="AE1399">
            <v>0</v>
          </cell>
          <cell r="AF1399">
            <v>332.85</v>
          </cell>
          <cell r="AO1399">
            <v>22.19</v>
          </cell>
          <cell r="AQ1399">
            <v>0.08</v>
          </cell>
          <cell r="AT1399">
            <v>70</v>
          </cell>
          <cell r="AU1399">
            <v>10</v>
          </cell>
          <cell r="AV1399">
            <v>1</v>
          </cell>
          <cell r="BA1399">
            <v>1</v>
          </cell>
          <cell r="BZ1399">
            <v>70</v>
          </cell>
          <cell r="CA1399">
            <v>10</v>
          </cell>
          <cell r="CS1399">
            <v>0</v>
          </cell>
          <cell r="DG1399" t="str">
            <v>)*1*0,75*20</v>
          </cell>
          <cell r="DI1399" t="str">
            <v>)*1*0,75*20</v>
          </cell>
        </row>
        <row r="1400">
          <cell r="F1400" t="str">
            <v>5.3-1102-26-1/1</v>
          </cell>
          <cell r="G1400" t="str">
            <v>Очистка лотков с решетками от снега, сечение лотка 100 см2, количество креплений решеток 20 шт.(  сечение 187.5 см2 )</v>
          </cell>
          <cell r="H1400" t="str">
            <v>10 м</v>
          </cell>
          <cell r="I1400">
            <v>7.69</v>
          </cell>
          <cell r="S1400">
            <v>31562.84</v>
          </cell>
          <cell r="U1400">
            <v>113.81200000000001</v>
          </cell>
          <cell r="X1400">
            <v>22093.99</v>
          </cell>
          <cell r="Y1400">
            <v>3156.28</v>
          </cell>
          <cell r="AE1400">
            <v>0</v>
          </cell>
          <cell r="AF1400">
            <v>4104.3999999999996</v>
          </cell>
          <cell r="AO1400">
            <v>205.22</v>
          </cell>
          <cell r="AQ1400">
            <v>0.74</v>
          </cell>
          <cell r="AT1400">
            <v>70</v>
          </cell>
          <cell r="AU1400">
            <v>10</v>
          </cell>
          <cell r="AV1400">
            <v>1</v>
          </cell>
          <cell r="BA1400">
            <v>1</v>
          </cell>
          <cell r="BZ1400">
            <v>70</v>
          </cell>
          <cell r="CA1400">
            <v>10</v>
          </cell>
          <cell r="CS1400">
            <v>0</v>
          </cell>
          <cell r="DG1400" t="str">
            <v>)*1*20</v>
          </cell>
          <cell r="DI1400" t="str">
            <v>)*1*20</v>
          </cell>
        </row>
        <row r="1401">
          <cell r="F1401" t="str">
            <v>5.3-1102-26-2/1</v>
          </cell>
          <cell r="G1401" t="str">
            <v>Очистка лотков с решетками от снега, добавлять к 3-1102-26-1 на каждые 100 см2 изменения сечения лотка</v>
          </cell>
          <cell r="H1401" t="str">
            <v>10 м</v>
          </cell>
          <cell r="I1401">
            <v>7.69</v>
          </cell>
          <cell r="S1401">
            <v>2986.22</v>
          </cell>
          <cell r="U1401">
            <v>10.766000000000002</v>
          </cell>
          <cell r="X1401">
            <v>2090.35</v>
          </cell>
          <cell r="Y1401">
            <v>298.62</v>
          </cell>
          <cell r="AE1401">
            <v>0</v>
          </cell>
          <cell r="AF1401">
            <v>388.32499999999999</v>
          </cell>
          <cell r="AO1401">
            <v>22.19</v>
          </cell>
          <cell r="AQ1401">
            <v>0.08</v>
          </cell>
          <cell r="AT1401">
            <v>70</v>
          </cell>
          <cell r="AU1401">
            <v>10</v>
          </cell>
          <cell r="AV1401">
            <v>1</v>
          </cell>
          <cell r="BA1401">
            <v>1</v>
          </cell>
          <cell r="BZ1401">
            <v>70</v>
          </cell>
          <cell r="CA1401">
            <v>10</v>
          </cell>
          <cell r="CS1401">
            <v>0</v>
          </cell>
          <cell r="DG1401" t="str">
            <v>)*1*0,875*20</v>
          </cell>
          <cell r="DI1401" t="str">
            <v>)*1*0,875*20</v>
          </cell>
        </row>
        <row r="1402">
          <cell r="F1402" t="str">
            <v>5.3-1102-26-1/1</v>
          </cell>
          <cell r="G1402" t="str">
            <v>Очистка лотков с решетками от снега, сечение лотка 100 см2, количество креплений решеток 20 шт.( сечение 224 см2)</v>
          </cell>
          <cell r="H1402" t="str">
            <v>10 м</v>
          </cell>
          <cell r="I1402">
            <v>1.514</v>
          </cell>
          <cell r="S1402">
            <v>6214.06</v>
          </cell>
          <cell r="U1402">
            <v>22.4072</v>
          </cell>
          <cell r="X1402">
            <v>4349.84</v>
          </cell>
          <cell r="Y1402">
            <v>621.41</v>
          </cell>
          <cell r="AE1402">
            <v>0</v>
          </cell>
          <cell r="AF1402">
            <v>4104.3999999999996</v>
          </cell>
          <cell r="AO1402">
            <v>205.22</v>
          </cell>
          <cell r="AQ1402">
            <v>0.74</v>
          </cell>
          <cell r="AT1402">
            <v>70</v>
          </cell>
          <cell r="AU1402">
            <v>10</v>
          </cell>
          <cell r="AV1402">
            <v>1</v>
          </cell>
          <cell r="BA1402">
            <v>1</v>
          </cell>
          <cell r="BZ1402">
            <v>70</v>
          </cell>
          <cell r="CA1402">
            <v>10</v>
          </cell>
          <cell r="CS1402">
            <v>0</v>
          </cell>
          <cell r="DG1402" t="str">
            <v>)*1*20</v>
          </cell>
          <cell r="DI1402" t="str">
            <v>)*1*20</v>
          </cell>
        </row>
        <row r="1403">
          <cell r="F1403" t="str">
            <v>5.3-1102-26-2/1</v>
          </cell>
          <cell r="G1403" t="str">
            <v>Очистка лотков с решетками от снега, добавлять к 3-1102-26-1 на каждые 100 см2 изменения сечения лотка</v>
          </cell>
          <cell r="H1403" t="str">
            <v>10 м</v>
          </cell>
          <cell r="I1403">
            <v>1.514</v>
          </cell>
          <cell r="S1403">
            <v>833.17</v>
          </cell>
          <cell r="U1403">
            <v>3.0037760000000002</v>
          </cell>
          <cell r="X1403">
            <v>583.22</v>
          </cell>
          <cell r="Y1403">
            <v>83.32</v>
          </cell>
          <cell r="AE1403">
            <v>0</v>
          </cell>
          <cell r="AF1403">
            <v>550.31200000000001</v>
          </cell>
          <cell r="AO1403">
            <v>22.19</v>
          </cell>
          <cell r="AQ1403">
            <v>0.08</v>
          </cell>
          <cell r="AT1403">
            <v>70</v>
          </cell>
          <cell r="AU1403">
            <v>10</v>
          </cell>
          <cell r="AV1403">
            <v>1</v>
          </cell>
          <cell r="BA1403">
            <v>1</v>
          </cell>
          <cell r="BZ1403">
            <v>70</v>
          </cell>
          <cell r="CA1403">
            <v>10</v>
          </cell>
          <cell r="CS1403">
            <v>0</v>
          </cell>
          <cell r="DG1403" t="str">
            <v>)*1*1,24*20</v>
          </cell>
          <cell r="DI1403" t="str">
            <v>)*1*1,24*20</v>
          </cell>
        </row>
        <row r="1404">
          <cell r="F1404" t="str">
            <v>5.3-1102-26-1/1</v>
          </cell>
          <cell r="G1404" t="str">
            <v>Очистка лотков с решетками от снега, сечение лотка 100 см2, количество креплений решеток 20 шт.( сечение 225 см2)</v>
          </cell>
          <cell r="H1404" t="str">
            <v>10 м</v>
          </cell>
          <cell r="I1404">
            <v>4.3159999999999998</v>
          </cell>
          <cell r="S1404">
            <v>17714.59</v>
          </cell>
          <cell r="U1404">
            <v>63.876800000000003</v>
          </cell>
          <cell r="X1404">
            <v>12400.21</v>
          </cell>
          <cell r="Y1404">
            <v>1771.46</v>
          </cell>
          <cell r="AE1404">
            <v>0</v>
          </cell>
          <cell r="AF1404">
            <v>4104.3999999999996</v>
          </cell>
          <cell r="AO1404">
            <v>205.22</v>
          </cell>
          <cell r="AQ1404">
            <v>0.74</v>
          </cell>
          <cell r="AT1404">
            <v>70</v>
          </cell>
          <cell r="AU1404">
            <v>10</v>
          </cell>
          <cell r="AV1404">
            <v>1</v>
          </cell>
          <cell r="BA1404">
            <v>1</v>
          </cell>
          <cell r="BZ1404">
            <v>70</v>
          </cell>
          <cell r="CA1404">
            <v>10</v>
          </cell>
          <cell r="CS1404">
            <v>0</v>
          </cell>
          <cell r="DG1404" t="str">
            <v>)*1*20</v>
          </cell>
          <cell r="DI1404" t="str">
            <v>)*1*20</v>
          </cell>
        </row>
        <row r="1405">
          <cell r="F1405" t="str">
            <v>5.3-1102-26-2/1</v>
          </cell>
          <cell r="G1405" t="str">
            <v>Очистка лотков с решетками от снега, добавлять к 3-1102-26-1 на каждые 100 см2 изменения сечения лотка</v>
          </cell>
          <cell r="H1405" t="str">
            <v>10 м</v>
          </cell>
          <cell r="I1405">
            <v>4.3159999999999998</v>
          </cell>
          <cell r="S1405">
            <v>2394.3000000000002</v>
          </cell>
          <cell r="U1405">
            <v>8.6319999999999997</v>
          </cell>
          <cell r="X1405">
            <v>1676.01</v>
          </cell>
          <cell r="Y1405">
            <v>239.43</v>
          </cell>
          <cell r="AE1405">
            <v>0</v>
          </cell>
          <cell r="AF1405">
            <v>554.75</v>
          </cell>
          <cell r="AO1405">
            <v>22.19</v>
          </cell>
          <cell r="AQ1405">
            <v>0.08</v>
          </cell>
          <cell r="AT1405">
            <v>70</v>
          </cell>
          <cell r="AU1405">
            <v>10</v>
          </cell>
          <cell r="AV1405">
            <v>1</v>
          </cell>
          <cell r="BA1405">
            <v>1</v>
          </cell>
          <cell r="BZ1405">
            <v>70</v>
          </cell>
          <cell r="CA1405">
            <v>10</v>
          </cell>
          <cell r="CS1405">
            <v>0</v>
          </cell>
          <cell r="DG1405" t="str">
            <v>)*1*1,25*20</v>
          </cell>
          <cell r="DI1405" t="str">
            <v>)*1*1,25*20</v>
          </cell>
        </row>
        <row r="1406">
          <cell r="F1406" t="str">
            <v>5.3-1102-26-1/1</v>
          </cell>
          <cell r="G1406" t="str">
            <v>Очистка лотков с решетками от снега, сечение лотка 100 см2, количество креплений решеток 20 шт.( сечение 262,5 см2)</v>
          </cell>
          <cell r="H1406" t="str">
            <v>10 м</v>
          </cell>
          <cell r="I1406">
            <v>3.7530000000000001</v>
          </cell>
          <cell r="S1406">
            <v>15403.81</v>
          </cell>
          <cell r="U1406">
            <v>55.544400000000003</v>
          </cell>
          <cell r="X1406">
            <v>10782.67</v>
          </cell>
          <cell r="Y1406">
            <v>1540.38</v>
          </cell>
          <cell r="AE1406">
            <v>0</v>
          </cell>
          <cell r="AF1406">
            <v>4104.3999999999996</v>
          </cell>
          <cell r="AO1406">
            <v>205.22</v>
          </cell>
          <cell r="AQ1406">
            <v>0.74</v>
          </cell>
          <cell r="AT1406">
            <v>70</v>
          </cell>
          <cell r="AU1406">
            <v>10</v>
          </cell>
          <cell r="AV1406">
            <v>1</v>
          </cell>
          <cell r="BA1406">
            <v>1</v>
          </cell>
          <cell r="BZ1406">
            <v>70</v>
          </cell>
          <cell r="CA1406">
            <v>10</v>
          </cell>
          <cell r="CS1406">
            <v>0</v>
          </cell>
          <cell r="DG1406" t="str">
            <v>)*1*20</v>
          </cell>
          <cell r="DI1406" t="str">
            <v>)*1*20</v>
          </cell>
        </row>
        <row r="1407">
          <cell r="F1407" t="str">
            <v>5.3-1102-26-2/1</v>
          </cell>
          <cell r="G1407" t="str">
            <v>Очистка лотков с решетками от снега, добавлять к 3-1102-26-1 на каждые 100 см2 изменения сечения лотка</v>
          </cell>
          <cell r="H1407" t="str">
            <v>10 м</v>
          </cell>
          <cell r="I1407">
            <v>3.7530000000000001</v>
          </cell>
          <cell r="S1407">
            <v>2706.57</v>
          </cell>
          <cell r="U1407">
            <v>9.7578000000000014</v>
          </cell>
          <cell r="X1407">
            <v>1894.6</v>
          </cell>
          <cell r="Y1407">
            <v>270.66000000000003</v>
          </cell>
          <cell r="AE1407">
            <v>0</v>
          </cell>
          <cell r="AF1407">
            <v>721.17499999999995</v>
          </cell>
          <cell r="AO1407">
            <v>22.19</v>
          </cell>
          <cell r="AQ1407">
            <v>0.08</v>
          </cell>
          <cell r="AT1407">
            <v>70</v>
          </cell>
          <cell r="AU1407">
            <v>10</v>
          </cell>
          <cell r="AV1407">
            <v>1</v>
          </cell>
          <cell r="BA1407">
            <v>1</v>
          </cell>
          <cell r="BZ1407">
            <v>70</v>
          </cell>
          <cell r="CA1407">
            <v>10</v>
          </cell>
          <cell r="CS1407">
            <v>0</v>
          </cell>
          <cell r="DG1407" t="str">
            <v>)*1*1,625*20</v>
          </cell>
          <cell r="DI1407" t="str">
            <v>)*1*1,625*20</v>
          </cell>
        </row>
        <row r="1408">
          <cell r="F1408" t="str">
            <v>5.3-1102-26-1/1</v>
          </cell>
          <cell r="G1408" t="str">
            <v>Очистка лотков с решетками от снега, сечение лотка 100 см2, количество креплений решеток 20 шт.( сечение 280 см2)</v>
          </cell>
          <cell r="H1408" t="str">
            <v>10 м</v>
          </cell>
          <cell r="I1408">
            <v>6.5</v>
          </cell>
          <cell r="S1408">
            <v>26678.6</v>
          </cell>
          <cell r="U1408">
            <v>96.2</v>
          </cell>
          <cell r="X1408">
            <v>18675.02</v>
          </cell>
          <cell r="Y1408">
            <v>2667.86</v>
          </cell>
          <cell r="AE1408">
            <v>0</v>
          </cell>
          <cell r="AF1408">
            <v>4104.3999999999996</v>
          </cell>
          <cell r="AO1408">
            <v>205.22</v>
          </cell>
          <cell r="AQ1408">
            <v>0.74</v>
          </cell>
          <cell r="AT1408">
            <v>70</v>
          </cell>
          <cell r="AU1408">
            <v>10</v>
          </cell>
          <cell r="AV1408">
            <v>1</v>
          </cell>
          <cell r="BA1408">
            <v>1</v>
          </cell>
          <cell r="BZ1408">
            <v>70</v>
          </cell>
          <cell r="CA1408">
            <v>10</v>
          </cell>
          <cell r="CS1408">
            <v>0</v>
          </cell>
          <cell r="DG1408" t="str">
            <v>)*1*20</v>
          </cell>
          <cell r="DI1408" t="str">
            <v>)*1*20</v>
          </cell>
        </row>
        <row r="1409">
          <cell r="F1409" t="str">
            <v>5.3-1102-26-2/1</v>
          </cell>
          <cell r="G1409" t="str">
            <v>Очистка лотков с решетками от снега, добавлять к 3-1102-26-1 на каждые 100 см2 изменения сечения лотка</v>
          </cell>
          <cell r="H1409" t="str">
            <v>10 м</v>
          </cell>
          <cell r="I1409">
            <v>6.5</v>
          </cell>
          <cell r="S1409">
            <v>5192.46</v>
          </cell>
          <cell r="U1409">
            <v>18.720000000000002</v>
          </cell>
          <cell r="X1409">
            <v>3634.72</v>
          </cell>
          <cell r="Y1409">
            <v>519.25</v>
          </cell>
          <cell r="AE1409">
            <v>0</v>
          </cell>
          <cell r="AF1409">
            <v>798.84</v>
          </cell>
          <cell r="AO1409">
            <v>22.19</v>
          </cell>
          <cell r="AQ1409">
            <v>0.08</v>
          </cell>
          <cell r="AT1409">
            <v>70</v>
          </cell>
          <cell r="AU1409">
            <v>10</v>
          </cell>
          <cell r="AV1409">
            <v>1</v>
          </cell>
          <cell r="BA1409">
            <v>1</v>
          </cell>
          <cell r="BZ1409">
            <v>70</v>
          </cell>
          <cell r="CA1409">
            <v>10</v>
          </cell>
          <cell r="CS1409">
            <v>0</v>
          </cell>
          <cell r="DG1409" t="str">
            <v>)*1*1,80*20</v>
          </cell>
          <cell r="DI1409" t="str">
            <v>)*1*1,80*20</v>
          </cell>
        </row>
        <row r="1410">
          <cell r="F1410" t="str">
            <v>5.3-1102-26-1/1</v>
          </cell>
          <cell r="G1410" t="str">
            <v>Очистка лотков с решетками от снега, сечение лотка 100 см2, количество креплений решеток 20 шт.( сечение 287,5 см2)</v>
          </cell>
          <cell r="H1410" t="str">
            <v>10 м</v>
          </cell>
          <cell r="I1410">
            <v>12.215999999999999</v>
          </cell>
          <cell r="S1410">
            <v>50139.35</v>
          </cell>
          <cell r="U1410">
            <v>180.79679999999999</v>
          </cell>
          <cell r="X1410">
            <v>35097.550000000003</v>
          </cell>
          <cell r="Y1410">
            <v>5013.9399999999996</v>
          </cell>
          <cell r="AE1410">
            <v>0</v>
          </cell>
          <cell r="AF1410">
            <v>4104.3999999999996</v>
          </cell>
          <cell r="AO1410">
            <v>205.22</v>
          </cell>
          <cell r="AQ1410">
            <v>0.74</v>
          </cell>
          <cell r="AT1410">
            <v>70</v>
          </cell>
          <cell r="AU1410">
            <v>10</v>
          </cell>
          <cell r="AV1410">
            <v>1</v>
          </cell>
          <cell r="BA1410">
            <v>1</v>
          </cell>
          <cell r="BZ1410">
            <v>70</v>
          </cell>
          <cell r="CA1410">
            <v>10</v>
          </cell>
          <cell r="CS1410">
            <v>0</v>
          </cell>
          <cell r="DG1410" t="str">
            <v>)*1*20</v>
          </cell>
          <cell r="DI1410" t="str">
            <v>)*1*20</v>
          </cell>
        </row>
        <row r="1411">
          <cell r="F1411" t="str">
            <v>5.3-1102-26-2/1</v>
          </cell>
          <cell r="G1411" t="str">
            <v>Очистка лотков с решетками от снега, добавлять к 3-1102-26-1 на каждые 100 см2 изменения сечения лотка</v>
          </cell>
          <cell r="H1411" t="str">
            <v>10 м</v>
          </cell>
          <cell r="I1411">
            <v>12.215999999999999</v>
          </cell>
          <cell r="S1411">
            <v>10165.24</v>
          </cell>
          <cell r="U1411">
            <v>36.647999999999996</v>
          </cell>
          <cell r="X1411">
            <v>7115.67</v>
          </cell>
          <cell r="Y1411">
            <v>1016.52</v>
          </cell>
          <cell r="AE1411">
            <v>0</v>
          </cell>
          <cell r="AF1411">
            <v>832.125</v>
          </cell>
          <cell r="AO1411">
            <v>22.19</v>
          </cell>
          <cell r="AQ1411">
            <v>0.08</v>
          </cell>
          <cell r="AT1411">
            <v>70</v>
          </cell>
          <cell r="AU1411">
            <v>10</v>
          </cell>
          <cell r="AV1411">
            <v>1</v>
          </cell>
          <cell r="BA1411">
            <v>1</v>
          </cell>
          <cell r="BZ1411">
            <v>70</v>
          </cell>
          <cell r="CA1411">
            <v>10</v>
          </cell>
          <cell r="CS1411">
            <v>0</v>
          </cell>
          <cell r="DG1411" t="str">
            <v>)*1*1,875*20</v>
          </cell>
          <cell r="DI1411" t="str">
            <v>)*1*1,875*20</v>
          </cell>
        </row>
        <row r="1412">
          <cell r="F1412" t="str">
            <v>5.3-1102-26-1/1</v>
          </cell>
          <cell r="G1412" t="str">
            <v>Очистка лотков с решетками от снега, сечение лотка 100 см2, количество креплений решеток 20 шт.( сечение 300 см2)</v>
          </cell>
          <cell r="H1412" t="str">
            <v>10 м</v>
          </cell>
          <cell r="I1412">
            <v>24.039000000000001</v>
          </cell>
          <cell r="S1412">
            <v>98665.67</v>
          </cell>
          <cell r="U1412">
            <v>355.77720000000005</v>
          </cell>
          <cell r="X1412">
            <v>69065.97</v>
          </cell>
          <cell r="Y1412">
            <v>9866.57</v>
          </cell>
          <cell r="AE1412">
            <v>0</v>
          </cell>
          <cell r="AF1412">
            <v>4104.3999999999996</v>
          </cell>
          <cell r="AO1412">
            <v>205.22</v>
          </cell>
          <cell r="AQ1412">
            <v>0.74</v>
          </cell>
          <cell r="AT1412">
            <v>70</v>
          </cell>
          <cell r="AU1412">
            <v>10</v>
          </cell>
          <cell r="AV1412">
            <v>1</v>
          </cell>
          <cell r="BA1412">
            <v>1</v>
          </cell>
          <cell r="BZ1412">
            <v>70</v>
          </cell>
          <cell r="CA1412">
            <v>10</v>
          </cell>
          <cell r="CS1412">
            <v>0</v>
          </cell>
          <cell r="DG1412" t="str">
            <v>)*1*20</v>
          </cell>
          <cell r="DI1412" t="str">
            <v>)*1*20</v>
          </cell>
        </row>
        <row r="1413">
          <cell r="F1413" t="str">
            <v>5.3-1102-26-2/1</v>
          </cell>
          <cell r="G1413" t="str">
            <v>Очистка лотков с решетками от снега, добавлять к 3-1102-26-1 на каждые 100 см2 изменения сечения лотка</v>
          </cell>
          <cell r="H1413" t="str">
            <v>10 м</v>
          </cell>
          <cell r="I1413">
            <v>24.039000000000001</v>
          </cell>
          <cell r="S1413">
            <v>21337.02</v>
          </cell>
          <cell r="U1413">
            <v>76.924800000000005</v>
          </cell>
          <cell r="X1413">
            <v>14935.91</v>
          </cell>
          <cell r="Y1413">
            <v>2133.6999999999998</v>
          </cell>
          <cell r="AE1413">
            <v>0</v>
          </cell>
          <cell r="AF1413">
            <v>887.6</v>
          </cell>
          <cell r="AO1413">
            <v>22.19</v>
          </cell>
          <cell r="AQ1413">
            <v>0.08</v>
          </cell>
          <cell r="AT1413">
            <v>70</v>
          </cell>
          <cell r="AU1413">
            <v>10</v>
          </cell>
          <cell r="AV1413">
            <v>1</v>
          </cell>
          <cell r="BA1413">
            <v>1</v>
          </cell>
          <cell r="BZ1413">
            <v>70</v>
          </cell>
          <cell r="CA1413">
            <v>10</v>
          </cell>
          <cell r="CS1413">
            <v>0</v>
          </cell>
          <cell r="DG1413" t="str">
            <v>)*1*2*20</v>
          </cell>
          <cell r="DI1413" t="str">
            <v>)*1*2*20</v>
          </cell>
        </row>
        <row r="1414">
          <cell r="F1414" t="str">
            <v>5.3-1102-26-1/1</v>
          </cell>
          <cell r="G1414" t="str">
            <v>Очистка лотков с решетками от снега, сечение лотка 100 см2, количество креплений решеток 20 шт.( сечение 350 см2)</v>
          </cell>
          <cell r="H1414" t="str">
            <v>10 м</v>
          </cell>
          <cell r="I1414">
            <v>4.4139999999999997</v>
          </cell>
          <cell r="S1414">
            <v>18116.82</v>
          </cell>
          <cell r="U1414">
            <v>65.327200000000005</v>
          </cell>
          <cell r="X1414">
            <v>12681.77</v>
          </cell>
          <cell r="Y1414">
            <v>1811.68</v>
          </cell>
          <cell r="AE1414">
            <v>0</v>
          </cell>
          <cell r="AF1414">
            <v>4104.3999999999996</v>
          </cell>
          <cell r="AO1414">
            <v>205.22</v>
          </cell>
          <cell r="AQ1414">
            <v>0.74</v>
          </cell>
          <cell r="AT1414">
            <v>70</v>
          </cell>
          <cell r="AU1414">
            <v>10</v>
          </cell>
          <cell r="AV1414">
            <v>1</v>
          </cell>
          <cell r="BA1414">
            <v>1</v>
          </cell>
          <cell r="BZ1414">
            <v>70</v>
          </cell>
          <cell r="CA1414">
            <v>10</v>
          </cell>
          <cell r="CS1414">
            <v>0</v>
          </cell>
          <cell r="DG1414" t="str">
            <v>)*1*20</v>
          </cell>
          <cell r="DI1414" t="str">
            <v>)*1*20</v>
          </cell>
        </row>
        <row r="1415">
          <cell r="F1415" t="str">
            <v>5.3-1102-26-2/1</v>
          </cell>
          <cell r="G1415" t="str">
            <v>Очистка лотков с решетками от снега, добавлять к 3-1102-26-1 на каждые 100 см2 изменения сечения лотка</v>
          </cell>
          <cell r="H1415" t="str">
            <v>10 м</v>
          </cell>
          <cell r="I1415">
            <v>4.4139999999999997</v>
          </cell>
          <cell r="S1415">
            <v>4897.33</v>
          </cell>
          <cell r="U1415">
            <v>17.655999999999999</v>
          </cell>
          <cell r="X1415">
            <v>3428.13</v>
          </cell>
          <cell r="Y1415">
            <v>489.73</v>
          </cell>
          <cell r="AE1415">
            <v>0</v>
          </cell>
          <cell r="AF1415">
            <v>1109.5</v>
          </cell>
          <cell r="AO1415">
            <v>22.19</v>
          </cell>
          <cell r="AQ1415">
            <v>0.08</v>
          </cell>
          <cell r="AT1415">
            <v>70</v>
          </cell>
          <cell r="AU1415">
            <v>10</v>
          </cell>
          <cell r="AV1415">
            <v>1</v>
          </cell>
          <cell r="BA1415">
            <v>1</v>
          </cell>
          <cell r="BZ1415">
            <v>70</v>
          </cell>
          <cell r="CA1415">
            <v>10</v>
          </cell>
          <cell r="CS1415">
            <v>0</v>
          </cell>
          <cell r="DG1415" t="str">
            <v>)*1*2,5*20</v>
          </cell>
          <cell r="DI1415" t="str">
            <v>)*1*2,5*20</v>
          </cell>
        </row>
        <row r="1416">
          <cell r="F1416" t="str">
            <v>5.3-1102-26-1/1</v>
          </cell>
          <cell r="G1416" t="str">
            <v>Очистка лотков с решетками от снега, сечение лотка 100 см2, количество креплений решеток 20 шт.( сечение 400 см2)</v>
          </cell>
          <cell r="H1416" t="str">
            <v>10 м</v>
          </cell>
          <cell r="I1416">
            <v>9.18</v>
          </cell>
          <cell r="S1416">
            <v>37678.39</v>
          </cell>
          <cell r="U1416">
            <v>135.864</v>
          </cell>
          <cell r="X1416">
            <v>26374.87</v>
          </cell>
          <cell r="Y1416">
            <v>3767.84</v>
          </cell>
          <cell r="AE1416">
            <v>0</v>
          </cell>
          <cell r="AF1416">
            <v>4104.3999999999996</v>
          </cell>
          <cell r="AO1416">
            <v>205.22</v>
          </cell>
          <cell r="AQ1416">
            <v>0.74</v>
          </cell>
          <cell r="AT1416">
            <v>70</v>
          </cell>
          <cell r="AU1416">
            <v>10</v>
          </cell>
          <cell r="AV1416">
            <v>1</v>
          </cell>
          <cell r="BA1416">
            <v>1</v>
          </cell>
          <cell r="BZ1416">
            <v>70</v>
          </cell>
          <cell r="CA1416">
            <v>10</v>
          </cell>
          <cell r="CS1416">
            <v>0</v>
          </cell>
          <cell r="DG1416" t="str">
            <v>)*1*20</v>
          </cell>
          <cell r="DI1416" t="str">
            <v>)*1*20</v>
          </cell>
        </row>
        <row r="1417">
          <cell r="F1417" t="str">
            <v>5.3-1102-26-2/1</v>
          </cell>
          <cell r="G1417" t="str">
            <v>Очистка лотков с решетками от снега, добавлять к 3-1102-26-1 на каждые 100 см2 изменения сечения лотка</v>
          </cell>
          <cell r="H1417" t="str">
            <v>10 м</v>
          </cell>
          <cell r="I1417">
            <v>9.18</v>
          </cell>
          <cell r="S1417">
            <v>12222.25</v>
          </cell>
          <cell r="U1417">
            <v>44.064</v>
          </cell>
          <cell r="X1417">
            <v>8555.58</v>
          </cell>
          <cell r="Y1417">
            <v>1222.23</v>
          </cell>
          <cell r="AE1417">
            <v>0</v>
          </cell>
          <cell r="AF1417">
            <v>1331.4</v>
          </cell>
          <cell r="AO1417">
            <v>22.19</v>
          </cell>
          <cell r="AQ1417">
            <v>0.08</v>
          </cell>
          <cell r="AT1417">
            <v>70</v>
          </cell>
          <cell r="AU1417">
            <v>10</v>
          </cell>
          <cell r="AV1417">
            <v>1</v>
          </cell>
          <cell r="BA1417">
            <v>1</v>
          </cell>
          <cell r="BZ1417">
            <v>70</v>
          </cell>
          <cell r="CA1417">
            <v>10</v>
          </cell>
          <cell r="CS1417">
            <v>0</v>
          </cell>
          <cell r="DG1417" t="str">
            <v>)*1*3*20</v>
          </cell>
          <cell r="DI1417" t="str">
            <v>)*1*3*20</v>
          </cell>
        </row>
        <row r="1418">
          <cell r="F1418" t="str">
            <v>5.3-1102-26-1/1</v>
          </cell>
          <cell r="G1418" t="str">
            <v>Очистка лотков с решетками от снега, сечение лотка 100 см2, количество креплений решеток 20 шт.( сечение 450 см2)</v>
          </cell>
          <cell r="H1418" t="str">
            <v>10 м</v>
          </cell>
          <cell r="I1418">
            <v>6.69</v>
          </cell>
          <cell r="S1418">
            <v>27458.44</v>
          </cell>
          <cell r="U1418">
            <v>99.012000000000015</v>
          </cell>
          <cell r="X1418">
            <v>19220.91</v>
          </cell>
          <cell r="Y1418">
            <v>2745.84</v>
          </cell>
          <cell r="AE1418">
            <v>0</v>
          </cell>
          <cell r="AF1418">
            <v>4104.3999999999996</v>
          </cell>
          <cell r="AO1418">
            <v>205.22</v>
          </cell>
          <cell r="AQ1418">
            <v>0.74</v>
          </cell>
          <cell r="AT1418">
            <v>70</v>
          </cell>
          <cell r="AU1418">
            <v>10</v>
          </cell>
          <cell r="AV1418">
            <v>1</v>
          </cell>
          <cell r="BA1418">
            <v>1</v>
          </cell>
          <cell r="BZ1418">
            <v>70</v>
          </cell>
          <cell r="CA1418">
            <v>10</v>
          </cell>
          <cell r="CS1418">
            <v>0</v>
          </cell>
          <cell r="DG1418" t="str">
            <v>)*1*20</v>
          </cell>
          <cell r="DI1418" t="str">
            <v>)*1*20</v>
          </cell>
        </row>
        <row r="1419">
          <cell r="F1419" t="str">
            <v>5.3-1102-26-2/1</v>
          </cell>
          <cell r="G1419" t="str">
            <v>Очистка лотков с решетками от снега, добавлять к 3-1102-26-1 на каждые 100 см2 изменения сечения лотка</v>
          </cell>
          <cell r="H1419" t="str">
            <v>10 м</v>
          </cell>
          <cell r="I1419">
            <v>6.69</v>
          </cell>
          <cell r="S1419">
            <v>10391.58</v>
          </cell>
          <cell r="U1419">
            <v>37.464000000000006</v>
          </cell>
          <cell r="X1419">
            <v>7274.11</v>
          </cell>
          <cell r="Y1419">
            <v>1039.1600000000001</v>
          </cell>
          <cell r="AE1419">
            <v>0</v>
          </cell>
          <cell r="AF1419">
            <v>1553.3</v>
          </cell>
          <cell r="AO1419">
            <v>22.19</v>
          </cell>
          <cell r="AQ1419">
            <v>0.08</v>
          </cell>
          <cell r="AT1419">
            <v>70</v>
          </cell>
          <cell r="AU1419">
            <v>10</v>
          </cell>
          <cell r="AV1419">
            <v>1</v>
          </cell>
          <cell r="BA1419">
            <v>1</v>
          </cell>
          <cell r="BZ1419">
            <v>70</v>
          </cell>
          <cell r="CA1419">
            <v>10</v>
          </cell>
          <cell r="CS1419">
            <v>0</v>
          </cell>
          <cell r="DG1419" t="str">
            <v>)*1*3,5*20</v>
          </cell>
          <cell r="DI1419" t="str">
            <v>)*1*3,5*20</v>
          </cell>
        </row>
        <row r="1420">
          <cell r="F1420" t="str">
            <v>5.3-1102-26-1/1</v>
          </cell>
          <cell r="G1420" t="str">
            <v>Очистка лотков с решетками от снега, сечение лотка 100 см2, количество креплений решеток 20 шт.( сечение 500 см2)</v>
          </cell>
          <cell r="H1420" t="str">
            <v>10 м</v>
          </cell>
          <cell r="I1420">
            <v>16.236000000000001</v>
          </cell>
          <cell r="S1420">
            <v>66639.039999999994</v>
          </cell>
          <cell r="U1420">
            <v>240.29280000000003</v>
          </cell>
          <cell r="X1420">
            <v>46647.33</v>
          </cell>
          <cell r="Y1420">
            <v>6663.9</v>
          </cell>
          <cell r="AE1420">
            <v>0</v>
          </cell>
          <cell r="AF1420">
            <v>4104.3999999999996</v>
          </cell>
          <cell r="AO1420">
            <v>205.22</v>
          </cell>
          <cell r="AQ1420">
            <v>0.74</v>
          </cell>
          <cell r="AT1420">
            <v>70</v>
          </cell>
          <cell r="AU1420">
            <v>10</v>
          </cell>
          <cell r="AV1420">
            <v>1</v>
          </cell>
          <cell r="BA1420">
            <v>1</v>
          </cell>
          <cell r="BZ1420">
            <v>70</v>
          </cell>
          <cell r="CA1420">
            <v>10</v>
          </cell>
          <cell r="CS1420">
            <v>0</v>
          </cell>
          <cell r="DG1420" t="str">
            <v>)*1*20</v>
          </cell>
          <cell r="DI1420" t="str">
            <v>)*1*20</v>
          </cell>
        </row>
        <row r="1421">
          <cell r="F1421" t="str">
            <v>5.3-1102-26-2/1</v>
          </cell>
          <cell r="G1421" t="str">
            <v>Очистка лотков с решетками от снега, добавлять к 3-1102-26-1 на каждые 100 см2 изменения сечения лотка</v>
          </cell>
          <cell r="H1421" t="str">
            <v>10 м</v>
          </cell>
          <cell r="I1421">
            <v>16.236000000000001</v>
          </cell>
          <cell r="S1421">
            <v>28822.15</v>
          </cell>
          <cell r="U1421">
            <v>103.91040000000001</v>
          </cell>
          <cell r="X1421">
            <v>20175.509999999998</v>
          </cell>
          <cell r="Y1421">
            <v>2882.22</v>
          </cell>
          <cell r="AE1421">
            <v>0</v>
          </cell>
          <cell r="AF1421">
            <v>1775.2</v>
          </cell>
          <cell r="AO1421">
            <v>22.19</v>
          </cell>
          <cell r="AQ1421">
            <v>0.08</v>
          </cell>
          <cell r="AT1421">
            <v>70</v>
          </cell>
          <cell r="AU1421">
            <v>10</v>
          </cell>
          <cell r="AV1421">
            <v>1</v>
          </cell>
          <cell r="BA1421">
            <v>1</v>
          </cell>
          <cell r="BZ1421">
            <v>70</v>
          </cell>
          <cell r="CA1421">
            <v>10</v>
          </cell>
          <cell r="CS1421">
            <v>0</v>
          </cell>
          <cell r="DG1421" t="str">
            <v>)*1*4*20</v>
          </cell>
          <cell r="DI1421" t="str">
            <v>)*1*4*20</v>
          </cell>
        </row>
        <row r="1422">
          <cell r="F1422" t="str">
            <v>5.3-1102-26-1/1</v>
          </cell>
          <cell r="G1422" t="str">
            <v>Очистка лотков с решетками от снега, сечение лотка 100 см2, количество креплений решеток 20 шт.( сечение 825 см2)</v>
          </cell>
          <cell r="H1422" t="str">
            <v>10 м</v>
          </cell>
          <cell r="I1422">
            <v>6.6859999999999999</v>
          </cell>
          <cell r="S1422">
            <v>27442.02</v>
          </cell>
          <cell r="U1422">
            <v>98.952800000000011</v>
          </cell>
          <cell r="X1422">
            <v>19209.41</v>
          </cell>
          <cell r="Y1422">
            <v>2744.2</v>
          </cell>
          <cell r="AE1422">
            <v>0</v>
          </cell>
          <cell r="AF1422">
            <v>4104.3999999999996</v>
          </cell>
          <cell r="AO1422">
            <v>205.22</v>
          </cell>
          <cell r="AQ1422">
            <v>0.74</v>
          </cell>
          <cell r="AT1422">
            <v>70</v>
          </cell>
          <cell r="AU1422">
            <v>10</v>
          </cell>
          <cell r="AV1422">
            <v>1</v>
          </cell>
          <cell r="BA1422">
            <v>1</v>
          </cell>
          <cell r="BZ1422">
            <v>70</v>
          </cell>
          <cell r="CA1422">
            <v>10</v>
          </cell>
          <cell r="CS1422">
            <v>0</v>
          </cell>
          <cell r="DG1422" t="str">
            <v>)*1*20</v>
          </cell>
          <cell r="DI1422" t="str">
            <v>)*1*20</v>
          </cell>
        </row>
        <row r="1423">
          <cell r="F1423" t="str">
            <v>5.3-1102-26-2/1</v>
          </cell>
          <cell r="G1423" t="str">
            <v>Очистка лотков с решетками от снега, добавлять к 3-1102-26-1 на каждые 100 см2 изменения сечения лотка</v>
          </cell>
          <cell r="H1423" t="str">
            <v>10 м</v>
          </cell>
          <cell r="I1423">
            <v>6.6859999999999999</v>
          </cell>
          <cell r="S1423">
            <v>21512.54</v>
          </cell>
          <cell r="U1423">
            <v>77.557599999999994</v>
          </cell>
          <cell r="X1423">
            <v>15058.78</v>
          </cell>
          <cell r="Y1423">
            <v>2151.25</v>
          </cell>
          <cell r="AE1423">
            <v>0</v>
          </cell>
          <cell r="AF1423">
            <v>3217.55</v>
          </cell>
          <cell r="AO1423">
            <v>22.19</v>
          </cell>
          <cell r="AQ1423">
            <v>0.08</v>
          </cell>
          <cell r="AT1423">
            <v>70</v>
          </cell>
          <cell r="AU1423">
            <v>10</v>
          </cell>
          <cell r="AV1423">
            <v>1</v>
          </cell>
          <cell r="BA1423">
            <v>1</v>
          </cell>
          <cell r="BZ1423">
            <v>70</v>
          </cell>
          <cell r="CA1423">
            <v>10</v>
          </cell>
          <cell r="CS1423">
            <v>0</v>
          </cell>
          <cell r="DG1423" t="str">
            <v>)*1*7,25*20</v>
          </cell>
          <cell r="DI1423" t="str">
            <v>)*1*7,25*20</v>
          </cell>
        </row>
        <row r="1424">
          <cell r="F1424" t="str">
            <v>5.3-1102-26-1/1</v>
          </cell>
          <cell r="G1424" t="str">
            <v>Очистка лотков с решетками от снега, сечение лотка 100 см2, количество креплений решеток 20 шт.( сечение 1200 см2)</v>
          </cell>
          <cell r="H1424" t="str">
            <v>10 м</v>
          </cell>
          <cell r="I1424">
            <v>7.3280000000000003</v>
          </cell>
          <cell r="S1424">
            <v>30077.040000000001</v>
          </cell>
          <cell r="U1424">
            <v>108.45440000000001</v>
          </cell>
          <cell r="X1424">
            <v>21053.93</v>
          </cell>
          <cell r="Y1424">
            <v>3007.7</v>
          </cell>
          <cell r="AE1424">
            <v>0</v>
          </cell>
          <cell r="AF1424">
            <v>4104.3999999999996</v>
          </cell>
          <cell r="AO1424">
            <v>205.22</v>
          </cell>
          <cell r="AQ1424">
            <v>0.74</v>
          </cell>
          <cell r="AT1424">
            <v>70</v>
          </cell>
          <cell r="AU1424">
            <v>10</v>
          </cell>
          <cell r="AV1424">
            <v>1</v>
          </cell>
          <cell r="BA1424">
            <v>1</v>
          </cell>
          <cell r="BZ1424">
            <v>70</v>
          </cell>
          <cell r="CA1424">
            <v>10</v>
          </cell>
          <cell r="CS1424">
            <v>0</v>
          </cell>
          <cell r="DG1424" t="str">
            <v>)*1*20</v>
          </cell>
          <cell r="DI1424" t="str">
            <v>)*1*20</v>
          </cell>
        </row>
        <row r="1425">
          <cell r="F1425" t="str">
            <v>5.3-1102-26-2/1</v>
          </cell>
          <cell r="G1425" t="str">
            <v>Очистка лотков с решетками от снега, добавлять к 3-1102-26-1 на каждые 100 см2 изменения сечения лотка</v>
          </cell>
          <cell r="H1425" t="str">
            <v>10 м</v>
          </cell>
          <cell r="I1425">
            <v>7.3280000000000003</v>
          </cell>
          <cell r="S1425">
            <v>35773.83</v>
          </cell>
          <cell r="U1425">
            <v>128.97280000000001</v>
          </cell>
          <cell r="X1425">
            <v>25041.68</v>
          </cell>
          <cell r="Y1425">
            <v>3577.38</v>
          </cell>
          <cell r="AE1425">
            <v>0</v>
          </cell>
          <cell r="AF1425">
            <v>4881.8</v>
          </cell>
          <cell r="AO1425">
            <v>22.19</v>
          </cell>
          <cell r="AQ1425">
            <v>0.08</v>
          </cell>
          <cell r="AT1425">
            <v>70</v>
          </cell>
          <cell r="AU1425">
            <v>10</v>
          </cell>
          <cell r="AV1425">
            <v>1</v>
          </cell>
          <cell r="BA1425">
            <v>1</v>
          </cell>
          <cell r="BZ1425">
            <v>70</v>
          </cell>
          <cell r="CA1425">
            <v>10</v>
          </cell>
          <cell r="CS1425">
            <v>0</v>
          </cell>
          <cell r="DG1425" t="str">
            <v>)*1*11*20</v>
          </cell>
          <cell r="DI1425" t="str">
            <v>)*1*11*20</v>
          </cell>
        </row>
        <row r="1426">
          <cell r="F1426" t="str">
            <v>5.3-1102-26-1/1</v>
          </cell>
          <cell r="G1426" t="str">
            <v>Очистка лотков с решетками от снега, сечение лотка 100 см2, количество креплений решеток 20 шт.( сечение 2400 см2)</v>
          </cell>
          <cell r="H1426" t="str">
            <v>10 м</v>
          </cell>
          <cell r="I1426">
            <v>6.35</v>
          </cell>
          <cell r="S1426">
            <v>26062.94</v>
          </cell>
          <cell r="U1426">
            <v>93.98</v>
          </cell>
          <cell r="X1426">
            <v>18244.060000000001</v>
          </cell>
          <cell r="Y1426">
            <v>2606.29</v>
          </cell>
          <cell r="AE1426">
            <v>0</v>
          </cell>
          <cell r="AF1426">
            <v>4104.3999999999996</v>
          </cell>
          <cell r="AO1426">
            <v>205.22</v>
          </cell>
          <cell r="AQ1426">
            <v>0.74</v>
          </cell>
          <cell r="AT1426">
            <v>70</v>
          </cell>
          <cell r="AU1426">
            <v>10</v>
          </cell>
          <cell r="AV1426">
            <v>1</v>
          </cell>
          <cell r="BA1426">
            <v>1</v>
          </cell>
          <cell r="BZ1426">
            <v>70</v>
          </cell>
          <cell r="CA1426">
            <v>10</v>
          </cell>
          <cell r="CS1426">
            <v>0</v>
          </cell>
          <cell r="DG1426" t="str">
            <v>)*1*20</v>
          </cell>
          <cell r="DI1426" t="str">
            <v>)*1*20</v>
          </cell>
        </row>
        <row r="1427">
          <cell r="F1427" t="str">
            <v>5.3-1102-26-2/1</v>
          </cell>
          <cell r="G1427" t="str">
            <v>Очистка лотков с решетками от снега, добавлять к 3-1102-26-1 на каждые 100 см2 изменения сечения лотка</v>
          </cell>
          <cell r="H1427" t="str">
            <v>10 м</v>
          </cell>
          <cell r="I1427">
            <v>6.35</v>
          </cell>
          <cell r="S1427">
            <v>64816.99</v>
          </cell>
          <cell r="U1427">
            <v>233.68</v>
          </cell>
          <cell r="X1427">
            <v>45371.89</v>
          </cell>
          <cell r="Y1427">
            <v>6481.7</v>
          </cell>
          <cell r="AE1427">
            <v>0</v>
          </cell>
          <cell r="AF1427">
            <v>10207.4</v>
          </cell>
          <cell r="AO1427">
            <v>22.19</v>
          </cell>
          <cell r="AQ1427">
            <v>0.08</v>
          </cell>
          <cell r="AT1427">
            <v>70</v>
          </cell>
          <cell r="AU1427">
            <v>10</v>
          </cell>
          <cell r="AV1427">
            <v>1</v>
          </cell>
          <cell r="BA1427">
            <v>1</v>
          </cell>
          <cell r="BZ1427">
            <v>70</v>
          </cell>
          <cell r="CA1427">
            <v>10</v>
          </cell>
          <cell r="CS1427">
            <v>0</v>
          </cell>
          <cell r="DG1427" t="str">
            <v>)*1*23*20</v>
          </cell>
          <cell r="DI1427" t="str">
            <v>)*1*23*20</v>
          </cell>
        </row>
        <row r="1428">
          <cell r="F1428" t="str">
            <v>5.3-1102-26-3/1</v>
          </cell>
          <cell r="G1428" t="str">
            <v>Очистка лотков с решетками от снега, добавлять к 3-1102-26-1 на каждые 10 креплений решеток</v>
          </cell>
          <cell r="H1428" t="str">
            <v>10 шт.</v>
          </cell>
          <cell r="I1428">
            <v>182.52</v>
          </cell>
          <cell r="S1428">
            <v>172079.86</v>
          </cell>
          <cell r="U1428">
            <v>620.5680000000001</v>
          </cell>
          <cell r="X1428">
            <v>120455.9</v>
          </cell>
          <cell r="Y1428">
            <v>17207.990000000002</v>
          </cell>
          <cell r="AE1428">
            <v>0</v>
          </cell>
          <cell r="AF1428">
            <v>942.8</v>
          </cell>
          <cell r="AO1428">
            <v>47.14</v>
          </cell>
          <cell r="AQ1428">
            <v>0.17</v>
          </cell>
          <cell r="AT1428">
            <v>70</v>
          </cell>
          <cell r="AU1428">
            <v>10</v>
          </cell>
          <cell r="AV1428">
            <v>1</v>
          </cell>
          <cell r="BA1428">
            <v>1</v>
          </cell>
          <cell r="BZ1428">
            <v>70</v>
          </cell>
          <cell r="CA1428">
            <v>10</v>
          </cell>
          <cell r="CS1428">
            <v>0</v>
          </cell>
          <cell r="DG1428" t="str">
            <v>)*1*20</v>
          </cell>
          <cell r="DI1428" t="str">
            <v>)*1*20</v>
          </cell>
        </row>
        <row r="1429">
          <cell r="F1429" t="str">
            <v>5.3-1102-27-1/1</v>
          </cell>
          <cell r="G1429" t="str">
            <v>Очистка лотков с решетками от наледи, сечение лотка 100 см2, количество креплений решеток 20 шт.( сечение 100 см2)</v>
          </cell>
          <cell r="H1429" t="str">
            <v>10 м</v>
          </cell>
          <cell r="I1429">
            <v>7.3330000000000002</v>
          </cell>
          <cell r="S1429">
            <v>68328.89</v>
          </cell>
          <cell r="U1429">
            <v>246.3888</v>
          </cell>
          <cell r="X1429">
            <v>47830.22</v>
          </cell>
          <cell r="Y1429">
            <v>6832.89</v>
          </cell>
          <cell r="AE1429">
            <v>0</v>
          </cell>
          <cell r="AF1429">
            <v>9318</v>
          </cell>
          <cell r="AO1429">
            <v>931.8</v>
          </cell>
          <cell r="AQ1429">
            <v>3.36</v>
          </cell>
          <cell r="AT1429">
            <v>70</v>
          </cell>
          <cell r="AU1429">
            <v>10</v>
          </cell>
          <cell r="AV1429">
            <v>1</v>
          </cell>
          <cell r="BA1429">
            <v>1</v>
          </cell>
          <cell r="BZ1429">
            <v>70</v>
          </cell>
          <cell r="CA1429">
            <v>10</v>
          </cell>
          <cell r="CS1429">
            <v>0</v>
          </cell>
          <cell r="DG1429" t="str">
            <v>)*1*10</v>
          </cell>
          <cell r="DI1429" t="str">
            <v>)*1*10</v>
          </cell>
        </row>
        <row r="1430">
          <cell r="F1430" t="str">
            <v>5.3-1102-27-1/1</v>
          </cell>
          <cell r="G1430" t="str">
            <v>Очистка лотков с решетками от наледи, сечение лотка 100 см2, количество креплений решеток 20 шт.( сечение 140 см2)</v>
          </cell>
          <cell r="H1430" t="str">
            <v>10 м</v>
          </cell>
          <cell r="I1430">
            <v>12.739000000000001</v>
          </cell>
          <cell r="S1430">
            <v>118702</v>
          </cell>
          <cell r="U1430">
            <v>428.03040000000004</v>
          </cell>
          <cell r="X1430">
            <v>83091.399999999994</v>
          </cell>
          <cell r="Y1430">
            <v>11870.2</v>
          </cell>
          <cell r="AE1430">
            <v>0</v>
          </cell>
          <cell r="AF1430">
            <v>9318</v>
          </cell>
          <cell r="AO1430">
            <v>931.8</v>
          </cell>
          <cell r="AQ1430">
            <v>3.36</v>
          </cell>
          <cell r="AT1430">
            <v>70</v>
          </cell>
          <cell r="AU1430">
            <v>10</v>
          </cell>
          <cell r="AV1430">
            <v>1</v>
          </cell>
          <cell r="BA1430">
            <v>1</v>
          </cell>
          <cell r="BZ1430">
            <v>70</v>
          </cell>
          <cell r="CA1430">
            <v>10</v>
          </cell>
          <cell r="CS1430">
            <v>0</v>
          </cell>
          <cell r="DG1430" t="str">
            <v>)*1*10</v>
          </cell>
          <cell r="DI1430" t="str">
            <v>)*1*10</v>
          </cell>
        </row>
        <row r="1431">
          <cell r="F1431" t="str">
            <v>5.3-1102-27-2/1</v>
          </cell>
          <cell r="G1431" t="str">
            <v>Очистка лотков с решетками от наледи, добавлять к 3-1102-27-1 на каждые 100 см2 изменения сечения лотка</v>
          </cell>
          <cell r="H1431" t="str">
            <v>10 м</v>
          </cell>
          <cell r="I1431">
            <v>12.739000000000001</v>
          </cell>
          <cell r="S1431">
            <v>18652.95</v>
          </cell>
          <cell r="U1431">
            <v>67.261920000000003</v>
          </cell>
          <cell r="X1431">
            <v>13057.07</v>
          </cell>
          <cell r="Y1431">
            <v>1865.3</v>
          </cell>
          <cell r="AE1431">
            <v>0</v>
          </cell>
          <cell r="AF1431">
            <v>1464.24</v>
          </cell>
          <cell r="AO1431">
            <v>366.06</v>
          </cell>
          <cell r="AQ1431">
            <v>1.32</v>
          </cell>
          <cell r="AT1431">
            <v>70</v>
          </cell>
          <cell r="AU1431">
            <v>10</v>
          </cell>
          <cell r="AV1431">
            <v>1</v>
          </cell>
          <cell r="BA1431">
            <v>1</v>
          </cell>
          <cell r="BZ1431">
            <v>70</v>
          </cell>
          <cell r="CA1431">
            <v>10</v>
          </cell>
          <cell r="CS1431">
            <v>0</v>
          </cell>
          <cell r="DG1431" t="str">
            <v>)*1*0,4*10</v>
          </cell>
          <cell r="DI1431" t="str">
            <v>)*1*0,4*10</v>
          </cell>
        </row>
        <row r="1432">
          <cell r="F1432" t="str">
            <v>5.3-1102-27-1/1</v>
          </cell>
          <cell r="G1432" t="str">
            <v>Очистка лотков с решетками от наледи, сечение лотка 100 см2, количество креплений решеток 20 шт.( сечение 175 см2)</v>
          </cell>
          <cell r="H1432" t="str">
            <v>10 м</v>
          </cell>
          <cell r="I1432">
            <v>11.05</v>
          </cell>
          <cell r="S1432">
            <v>102963.9</v>
          </cell>
          <cell r="U1432">
            <v>371.28000000000003</v>
          </cell>
          <cell r="X1432">
            <v>72074.73</v>
          </cell>
          <cell r="Y1432">
            <v>10296.39</v>
          </cell>
          <cell r="AE1432">
            <v>0</v>
          </cell>
          <cell r="AF1432">
            <v>9318</v>
          </cell>
          <cell r="AO1432">
            <v>931.8</v>
          </cell>
          <cell r="AQ1432">
            <v>3.36</v>
          </cell>
          <cell r="AT1432">
            <v>70</v>
          </cell>
          <cell r="AU1432">
            <v>10</v>
          </cell>
          <cell r="AV1432">
            <v>1</v>
          </cell>
          <cell r="BA1432">
            <v>1</v>
          </cell>
          <cell r="BZ1432">
            <v>70</v>
          </cell>
          <cell r="CA1432">
            <v>10</v>
          </cell>
          <cell r="CS1432">
            <v>0</v>
          </cell>
          <cell r="DG1432" t="str">
            <v>)*1*10</v>
          </cell>
          <cell r="DI1432" t="str">
            <v>)*1*10</v>
          </cell>
        </row>
        <row r="1433">
          <cell r="F1433" t="str">
            <v>5.3-1102-27-2/1</v>
          </cell>
          <cell r="G1433" t="str">
            <v>Очистка лотков с решетками от наледи, добавлять к 3-1102-27-1 на каждые 100 см2 изменения сечения лотка</v>
          </cell>
          <cell r="H1433" t="str">
            <v>10 м</v>
          </cell>
          <cell r="I1433">
            <v>11.05</v>
          </cell>
          <cell r="S1433">
            <v>30337.22</v>
          </cell>
          <cell r="U1433">
            <v>109.39500000000001</v>
          </cell>
          <cell r="X1433">
            <v>21236.05</v>
          </cell>
          <cell r="Y1433">
            <v>3033.72</v>
          </cell>
          <cell r="AE1433">
            <v>0</v>
          </cell>
          <cell r="AF1433">
            <v>2745.45</v>
          </cell>
          <cell r="AO1433">
            <v>366.06</v>
          </cell>
          <cell r="AQ1433">
            <v>1.32</v>
          </cell>
          <cell r="AT1433">
            <v>70</v>
          </cell>
          <cell r="AU1433">
            <v>10</v>
          </cell>
          <cell r="AV1433">
            <v>1</v>
          </cell>
          <cell r="BA1433">
            <v>1</v>
          </cell>
          <cell r="BZ1433">
            <v>70</v>
          </cell>
          <cell r="CA1433">
            <v>10</v>
          </cell>
          <cell r="CS1433">
            <v>0</v>
          </cell>
          <cell r="DG1433" t="str">
            <v>)*1*0,75*10</v>
          </cell>
          <cell r="DI1433" t="str">
            <v>)*1*0,75*10</v>
          </cell>
        </row>
        <row r="1434">
          <cell r="F1434" t="str">
            <v>5.3-1102-27-1/1</v>
          </cell>
          <cell r="G1434" t="str">
            <v>Очистка лотков с решетками от наледи, сечение лотка 100 см2, количество креплений решеток 20 шт.(  сечение 187,5 см2)</v>
          </cell>
          <cell r="H1434" t="str">
            <v>10 м</v>
          </cell>
          <cell r="I1434">
            <v>7.69</v>
          </cell>
          <cell r="S1434">
            <v>71655.42</v>
          </cell>
          <cell r="U1434">
            <v>258.38400000000001</v>
          </cell>
          <cell r="X1434">
            <v>50158.79</v>
          </cell>
          <cell r="Y1434">
            <v>7165.54</v>
          </cell>
          <cell r="AE1434">
            <v>0</v>
          </cell>
          <cell r="AF1434">
            <v>9318</v>
          </cell>
          <cell r="AO1434">
            <v>931.8</v>
          </cell>
          <cell r="AQ1434">
            <v>3.36</v>
          </cell>
          <cell r="AT1434">
            <v>70</v>
          </cell>
          <cell r="AU1434">
            <v>10</v>
          </cell>
          <cell r="AV1434">
            <v>1</v>
          </cell>
          <cell r="BA1434">
            <v>1</v>
          </cell>
          <cell r="BZ1434">
            <v>70</v>
          </cell>
          <cell r="CA1434">
            <v>10</v>
          </cell>
          <cell r="CS1434">
            <v>0</v>
          </cell>
          <cell r="DG1434" t="str">
            <v>)*1*10</v>
          </cell>
          <cell r="DI1434" t="str">
            <v>)*1*10</v>
          </cell>
        </row>
        <row r="1435">
          <cell r="F1435" t="str">
            <v>5.3-1102-27-2/1</v>
          </cell>
          <cell r="G1435" t="str">
            <v>Очистка лотков с решетками от наледи, добавлять к 3-1102-27-1 на каждые 100 см2 изменения сечения лотка</v>
          </cell>
          <cell r="H1435" t="str">
            <v>10 м</v>
          </cell>
          <cell r="I1435">
            <v>7.69</v>
          </cell>
          <cell r="S1435">
            <v>24631.26</v>
          </cell>
          <cell r="U1435">
            <v>88.819500000000005</v>
          </cell>
          <cell r="X1435">
            <v>17241.88</v>
          </cell>
          <cell r="Y1435">
            <v>2463.13</v>
          </cell>
          <cell r="AE1435">
            <v>0</v>
          </cell>
          <cell r="AF1435">
            <v>3203.0250000000001</v>
          </cell>
          <cell r="AO1435">
            <v>366.06</v>
          </cell>
          <cell r="AQ1435">
            <v>1.32</v>
          </cell>
          <cell r="AT1435">
            <v>70</v>
          </cell>
          <cell r="AU1435">
            <v>10</v>
          </cell>
          <cell r="AV1435">
            <v>1</v>
          </cell>
          <cell r="BA1435">
            <v>1</v>
          </cell>
          <cell r="BZ1435">
            <v>70</v>
          </cell>
          <cell r="CA1435">
            <v>10</v>
          </cell>
          <cell r="CS1435">
            <v>0</v>
          </cell>
          <cell r="DG1435" t="str">
            <v>)*1*0,875*10</v>
          </cell>
          <cell r="DI1435" t="str">
            <v>)*1*0,875*10</v>
          </cell>
        </row>
        <row r="1436">
          <cell r="F1436" t="str">
            <v>5.3-1102-27-1/1</v>
          </cell>
          <cell r="G1436" t="str">
            <v>Очистка лотков с решетками от наледи, сечение лотка 100 см2, количество креплений решеток 20 шт.( сечение 224 см2)</v>
          </cell>
          <cell r="H1436" t="str">
            <v>10 м</v>
          </cell>
          <cell r="I1436">
            <v>1.514</v>
          </cell>
          <cell r="S1436">
            <v>14107.45</v>
          </cell>
          <cell r="U1436">
            <v>50.870400000000004</v>
          </cell>
          <cell r="X1436">
            <v>9875.2199999999993</v>
          </cell>
          <cell r="Y1436">
            <v>1410.75</v>
          </cell>
          <cell r="AE1436">
            <v>0</v>
          </cell>
          <cell r="AF1436">
            <v>9318</v>
          </cell>
          <cell r="AO1436">
            <v>931.8</v>
          </cell>
          <cell r="AQ1436">
            <v>3.36</v>
          </cell>
          <cell r="AT1436">
            <v>70</v>
          </cell>
          <cell r="AU1436">
            <v>10</v>
          </cell>
          <cell r="AV1436">
            <v>1</v>
          </cell>
          <cell r="BA1436">
            <v>1</v>
          </cell>
          <cell r="BZ1436">
            <v>70</v>
          </cell>
          <cell r="CA1436">
            <v>10</v>
          </cell>
          <cell r="CS1436">
            <v>0</v>
          </cell>
          <cell r="DG1436" t="str">
            <v>)*1*10</v>
          </cell>
          <cell r="DI1436" t="str">
            <v>)*1*10</v>
          </cell>
        </row>
        <row r="1437">
          <cell r="F1437" t="str">
            <v>5.3-1102-27-2/1</v>
          </cell>
          <cell r="G1437" t="str">
            <v>Очистка лотков с решетками от наледи, добавлять к 3-1102-27-1 на каждые 100 см2 изменения сечения лотка</v>
          </cell>
          <cell r="H1437" t="str">
            <v>10 м</v>
          </cell>
          <cell r="I1437">
            <v>1.514</v>
          </cell>
          <cell r="S1437">
            <v>6872.26</v>
          </cell>
          <cell r="U1437">
            <v>24.781152000000002</v>
          </cell>
          <cell r="X1437">
            <v>4810.58</v>
          </cell>
          <cell r="Y1437">
            <v>687.23</v>
          </cell>
          <cell r="AE1437">
            <v>0</v>
          </cell>
          <cell r="AF1437">
            <v>4539.1440000000002</v>
          </cell>
          <cell r="AO1437">
            <v>366.06</v>
          </cell>
          <cell r="AQ1437">
            <v>1.32</v>
          </cell>
          <cell r="AT1437">
            <v>70</v>
          </cell>
          <cell r="AU1437">
            <v>10</v>
          </cell>
          <cell r="AV1437">
            <v>1</v>
          </cell>
          <cell r="BA1437">
            <v>1</v>
          </cell>
          <cell r="BZ1437">
            <v>70</v>
          </cell>
          <cell r="CA1437">
            <v>10</v>
          </cell>
          <cell r="CS1437">
            <v>0</v>
          </cell>
          <cell r="DG1437" t="str">
            <v>)*1*1,24*10</v>
          </cell>
          <cell r="DI1437" t="str">
            <v>)*1*1,24*10</v>
          </cell>
        </row>
        <row r="1438">
          <cell r="F1438" t="str">
            <v>5.3-1102-27-1/1</v>
          </cell>
          <cell r="G1438" t="str">
            <v>Очистка лотков с решетками от наледи, сечение лотка 100 см2, количество креплений решеток 20 шт.( сечение 225 см2)</v>
          </cell>
          <cell r="H1438" t="str">
            <v>10 м</v>
          </cell>
          <cell r="I1438">
            <v>4.3159999999999998</v>
          </cell>
          <cell r="S1438">
            <v>40216.49</v>
          </cell>
          <cell r="U1438">
            <v>145.01759999999999</v>
          </cell>
          <cell r="X1438">
            <v>28151.54</v>
          </cell>
          <cell r="Y1438">
            <v>4021.65</v>
          </cell>
          <cell r="AE1438">
            <v>0</v>
          </cell>
          <cell r="AF1438">
            <v>9318</v>
          </cell>
          <cell r="AO1438">
            <v>931.8</v>
          </cell>
          <cell r="AQ1438">
            <v>3.36</v>
          </cell>
          <cell r="AT1438">
            <v>70</v>
          </cell>
          <cell r="AU1438">
            <v>10</v>
          </cell>
          <cell r="AV1438">
            <v>1</v>
          </cell>
          <cell r="BA1438">
            <v>1</v>
          </cell>
          <cell r="BZ1438">
            <v>70</v>
          </cell>
          <cell r="CA1438">
            <v>10</v>
          </cell>
          <cell r="CS1438">
            <v>0</v>
          </cell>
          <cell r="DG1438" t="str">
            <v>)*1*10</v>
          </cell>
          <cell r="DI1438" t="str">
            <v>)*1*10</v>
          </cell>
        </row>
        <row r="1439">
          <cell r="F1439" t="str">
            <v>5.3-1102-27-2/1</v>
          </cell>
          <cell r="G1439" t="str">
            <v>Очистка лотков с решетками от наледи, добавлять к 3-1102-27-1 на каждые 100 см2 изменения сечения лотка</v>
          </cell>
          <cell r="H1439" t="str">
            <v>10 м</v>
          </cell>
          <cell r="I1439">
            <v>4.3159999999999998</v>
          </cell>
          <cell r="S1439">
            <v>19748.939999999999</v>
          </cell>
          <cell r="U1439">
            <v>71.213999999999999</v>
          </cell>
          <cell r="X1439">
            <v>13824.26</v>
          </cell>
          <cell r="Y1439">
            <v>1974.89</v>
          </cell>
          <cell r="AE1439">
            <v>0</v>
          </cell>
          <cell r="AF1439">
            <v>4575.75</v>
          </cell>
          <cell r="AO1439">
            <v>366.06</v>
          </cell>
          <cell r="AQ1439">
            <v>1.32</v>
          </cell>
          <cell r="AT1439">
            <v>70</v>
          </cell>
          <cell r="AU1439">
            <v>10</v>
          </cell>
          <cell r="AV1439">
            <v>1</v>
          </cell>
          <cell r="BA1439">
            <v>1</v>
          </cell>
          <cell r="BZ1439">
            <v>70</v>
          </cell>
          <cell r="CA1439">
            <v>10</v>
          </cell>
          <cell r="CS1439">
            <v>0</v>
          </cell>
          <cell r="DG1439" t="str">
            <v>)*1*1,25*10</v>
          </cell>
          <cell r="DI1439" t="str">
            <v>)*1*1,25*10</v>
          </cell>
        </row>
        <row r="1440">
          <cell r="F1440" t="str">
            <v>5.3-1102-27-1/1</v>
          </cell>
          <cell r="G1440" t="str">
            <v>Очистка лотков с решетками от наледи, сечение лотка 100 см2, количество креплений решеток 20 шт.( сечение 262,5 см2)</v>
          </cell>
          <cell r="H1440" t="str">
            <v>10 м</v>
          </cell>
          <cell r="I1440">
            <v>3.7530000000000001</v>
          </cell>
          <cell r="S1440">
            <v>34970.449999999997</v>
          </cell>
          <cell r="U1440">
            <v>126.10080000000001</v>
          </cell>
          <cell r="X1440">
            <v>24479.32</v>
          </cell>
          <cell r="Y1440">
            <v>3497.05</v>
          </cell>
          <cell r="AE1440">
            <v>0</v>
          </cell>
          <cell r="AF1440">
            <v>9318</v>
          </cell>
          <cell r="AO1440">
            <v>931.8</v>
          </cell>
          <cell r="AQ1440">
            <v>3.36</v>
          </cell>
          <cell r="AT1440">
            <v>70</v>
          </cell>
          <cell r="AU1440">
            <v>10</v>
          </cell>
          <cell r="AV1440">
            <v>1</v>
          </cell>
          <cell r="BA1440">
            <v>1</v>
          </cell>
          <cell r="BZ1440">
            <v>70</v>
          </cell>
          <cell r="CA1440">
            <v>10</v>
          </cell>
          <cell r="CS1440">
            <v>0</v>
          </cell>
          <cell r="DG1440" t="str">
            <v>)*1*10</v>
          </cell>
          <cell r="DI1440" t="str">
            <v>)*1*10</v>
          </cell>
        </row>
        <row r="1441">
          <cell r="F1441" t="str">
            <v>5.3-1102-27-2/1</v>
          </cell>
          <cell r="G1441" t="str">
            <v>Очистка лотков с решетками от наледи, добавлять к 3-1102-27-1 на каждые 100 см2 изменения сечения лотка</v>
          </cell>
          <cell r="H1441" t="str">
            <v>10 м</v>
          </cell>
          <cell r="I1441">
            <v>3.7530000000000001</v>
          </cell>
          <cell r="S1441">
            <v>22324.63</v>
          </cell>
          <cell r="U1441">
            <v>80.501850000000005</v>
          </cell>
          <cell r="X1441">
            <v>15627.24</v>
          </cell>
          <cell r="Y1441">
            <v>2232.46</v>
          </cell>
          <cell r="AE1441">
            <v>0</v>
          </cell>
          <cell r="AF1441">
            <v>5948.4750000000004</v>
          </cell>
          <cell r="AO1441">
            <v>366.06</v>
          </cell>
          <cell r="AQ1441">
            <v>1.32</v>
          </cell>
          <cell r="AT1441">
            <v>70</v>
          </cell>
          <cell r="AU1441">
            <v>10</v>
          </cell>
          <cell r="AV1441">
            <v>1</v>
          </cell>
          <cell r="BA1441">
            <v>1</v>
          </cell>
          <cell r="BZ1441">
            <v>70</v>
          </cell>
          <cell r="CA1441">
            <v>10</v>
          </cell>
          <cell r="CS1441">
            <v>0</v>
          </cell>
          <cell r="DG1441" t="str">
            <v>)*1*1,625*10</v>
          </cell>
          <cell r="DI1441" t="str">
            <v>)*1*1,625*10</v>
          </cell>
        </row>
        <row r="1442">
          <cell r="F1442" t="str">
            <v>5.3-1102-27-1/1</v>
          </cell>
          <cell r="G1442" t="str">
            <v>Очистка лотков с решетками от наледи, сечение лотка 100 см2, количество креплений решеток 20 шт.( сечение 280 см2)</v>
          </cell>
          <cell r="H1442" t="str">
            <v>10 м</v>
          </cell>
          <cell r="I1442">
            <v>6.5</v>
          </cell>
          <cell r="S1442">
            <v>60567</v>
          </cell>
          <cell r="U1442">
            <v>218.4</v>
          </cell>
          <cell r="X1442">
            <v>42396.9</v>
          </cell>
          <cell r="Y1442">
            <v>6056.7</v>
          </cell>
          <cell r="AE1442">
            <v>0</v>
          </cell>
          <cell r="AF1442">
            <v>9318</v>
          </cell>
          <cell r="AO1442">
            <v>931.8</v>
          </cell>
          <cell r="AQ1442">
            <v>3.36</v>
          </cell>
          <cell r="AT1442">
            <v>70</v>
          </cell>
          <cell r="AU1442">
            <v>10</v>
          </cell>
          <cell r="AV1442">
            <v>1</v>
          </cell>
          <cell r="BA1442">
            <v>1</v>
          </cell>
          <cell r="BZ1442">
            <v>70</v>
          </cell>
          <cell r="CA1442">
            <v>10</v>
          </cell>
          <cell r="CS1442">
            <v>0</v>
          </cell>
          <cell r="DG1442" t="str">
            <v>)*1*10</v>
          </cell>
          <cell r="DI1442" t="str">
            <v>)*1*10</v>
          </cell>
        </row>
        <row r="1443">
          <cell r="F1443" t="str">
            <v>5.3-1102-27-2/1</v>
          </cell>
          <cell r="G1443" t="str">
            <v>Очистка лотков с решетками от наледи, добавлять к 3-1102-27-1 на каждые 100 см2 изменения сечения лотка</v>
          </cell>
          <cell r="H1443" t="str">
            <v>10 м</v>
          </cell>
          <cell r="I1443">
            <v>6.5</v>
          </cell>
          <cell r="S1443">
            <v>42829.02</v>
          </cell>
          <cell r="U1443">
            <v>154.44000000000003</v>
          </cell>
          <cell r="X1443">
            <v>29980.31</v>
          </cell>
          <cell r="Y1443">
            <v>4282.8999999999996</v>
          </cell>
          <cell r="AE1443">
            <v>0</v>
          </cell>
          <cell r="AF1443">
            <v>6589.08</v>
          </cell>
          <cell r="AO1443">
            <v>366.06</v>
          </cell>
          <cell r="AQ1443">
            <v>1.32</v>
          </cell>
          <cell r="AT1443">
            <v>70</v>
          </cell>
          <cell r="AU1443">
            <v>10</v>
          </cell>
          <cell r="AV1443">
            <v>1</v>
          </cell>
          <cell r="BA1443">
            <v>1</v>
          </cell>
          <cell r="BZ1443">
            <v>70</v>
          </cell>
          <cell r="CA1443">
            <v>10</v>
          </cell>
          <cell r="CS1443">
            <v>0</v>
          </cell>
          <cell r="DG1443" t="str">
            <v>)*1*1,8*10</v>
          </cell>
          <cell r="DI1443" t="str">
            <v>)*1*1,8*10</v>
          </cell>
        </row>
        <row r="1444">
          <cell r="F1444" t="str">
            <v>5.3-1102-27-1/1</v>
          </cell>
          <cell r="G1444" t="str">
            <v>Очистка лотков с решетками от наледи, сечение лотка 100 см2, количество креплений решеток 20 шт.( сечение 287,5 см2)</v>
          </cell>
          <cell r="H1444" t="str">
            <v>10 м</v>
          </cell>
          <cell r="I1444">
            <v>12.215999999999999</v>
          </cell>
          <cell r="S1444">
            <v>113828.69</v>
          </cell>
          <cell r="U1444">
            <v>410.45760000000001</v>
          </cell>
          <cell r="X1444">
            <v>79680.08</v>
          </cell>
          <cell r="Y1444">
            <v>11382.87</v>
          </cell>
          <cell r="AE1444">
            <v>0</v>
          </cell>
          <cell r="AF1444">
            <v>9318</v>
          </cell>
          <cell r="AO1444">
            <v>931.8</v>
          </cell>
          <cell r="AQ1444">
            <v>3.36</v>
          </cell>
          <cell r="AT1444">
            <v>70</v>
          </cell>
          <cell r="AU1444">
            <v>10</v>
          </cell>
          <cell r="AV1444">
            <v>1</v>
          </cell>
          <cell r="BA1444">
            <v>1</v>
          </cell>
          <cell r="BZ1444">
            <v>70</v>
          </cell>
          <cell r="CA1444">
            <v>10</v>
          </cell>
          <cell r="CS1444">
            <v>0</v>
          </cell>
          <cell r="DG1444" t="str">
            <v>)*1*10</v>
          </cell>
          <cell r="DI1444" t="str">
            <v>)*1*10</v>
          </cell>
        </row>
        <row r="1445">
          <cell r="F1445" t="str">
            <v>5.3-1102-27-2/1</v>
          </cell>
          <cell r="G1445" t="str">
            <v>Очистка лотков с решетками от наледи, добавлять к 3-1102-27-1 на каждые 100 см2 изменения сечения лотка</v>
          </cell>
          <cell r="H1445" t="str">
            <v>10 м</v>
          </cell>
          <cell r="I1445">
            <v>12.215999999999999</v>
          </cell>
          <cell r="S1445">
            <v>83846.039999999994</v>
          </cell>
          <cell r="U1445">
            <v>302.346</v>
          </cell>
          <cell r="X1445">
            <v>58692.23</v>
          </cell>
          <cell r="Y1445">
            <v>8384.6</v>
          </cell>
          <cell r="AE1445">
            <v>0</v>
          </cell>
          <cell r="AF1445">
            <v>6863.625</v>
          </cell>
          <cell r="AO1445">
            <v>366.06</v>
          </cell>
          <cell r="AQ1445">
            <v>1.32</v>
          </cell>
          <cell r="AT1445">
            <v>70</v>
          </cell>
          <cell r="AU1445">
            <v>10</v>
          </cell>
          <cell r="AV1445">
            <v>1</v>
          </cell>
          <cell r="BA1445">
            <v>1</v>
          </cell>
          <cell r="BZ1445">
            <v>70</v>
          </cell>
          <cell r="CA1445">
            <v>10</v>
          </cell>
          <cell r="CS1445">
            <v>0</v>
          </cell>
          <cell r="DG1445" t="str">
            <v>)*1*1,875*10</v>
          </cell>
          <cell r="DI1445" t="str">
            <v>)*1*1,875*10</v>
          </cell>
        </row>
        <row r="1446">
          <cell r="F1446" t="str">
            <v>5.3-1102-27-1/1</v>
          </cell>
          <cell r="G1446" t="str">
            <v>Очистка лотков с решетками от наледи, сечение лотка 100 см2, количество креплений решеток 20 шт.( сечение 300 см2)</v>
          </cell>
          <cell r="H1446" t="str">
            <v>10 м</v>
          </cell>
          <cell r="I1446">
            <v>24.039000000000001</v>
          </cell>
          <cell r="S1446">
            <v>223995.4</v>
          </cell>
          <cell r="U1446">
            <v>807.71040000000005</v>
          </cell>
          <cell r="X1446">
            <v>156796.78</v>
          </cell>
          <cell r="Y1446">
            <v>22399.54</v>
          </cell>
          <cell r="AE1446">
            <v>0</v>
          </cell>
          <cell r="AF1446">
            <v>9318</v>
          </cell>
          <cell r="AO1446">
            <v>931.8</v>
          </cell>
          <cell r="AQ1446">
            <v>3.36</v>
          </cell>
          <cell r="AT1446">
            <v>70</v>
          </cell>
          <cell r="AU1446">
            <v>10</v>
          </cell>
          <cell r="AV1446">
            <v>1</v>
          </cell>
          <cell r="BA1446">
            <v>1</v>
          </cell>
          <cell r="BZ1446">
            <v>70</v>
          </cell>
          <cell r="CA1446">
            <v>10</v>
          </cell>
          <cell r="CS1446">
            <v>0</v>
          </cell>
          <cell r="DG1446" t="str">
            <v>)*1*10</v>
          </cell>
          <cell r="DI1446" t="str">
            <v>)*1*10</v>
          </cell>
        </row>
        <row r="1447">
          <cell r="F1447" t="str">
            <v>5.3-1102-27-2/1</v>
          </cell>
          <cell r="G1447" t="str">
            <v>Очистка лотков с решетками от наледи, добавлять к 3-1102-27-1 на каждые 100 см2 изменения сечения лотка</v>
          </cell>
          <cell r="H1447" t="str">
            <v>10 м</v>
          </cell>
          <cell r="I1447">
            <v>24.039000000000001</v>
          </cell>
          <cell r="S1447">
            <v>175994.33</v>
          </cell>
          <cell r="U1447">
            <v>634.6296000000001</v>
          </cell>
          <cell r="X1447">
            <v>123196.03</v>
          </cell>
          <cell r="Y1447">
            <v>17599.43</v>
          </cell>
          <cell r="AE1447">
            <v>0</v>
          </cell>
          <cell r="AF1447">
            <v>7321.2</v>
          </cell>
          <cell r="AO1447">
            <v>366.06</v>
          </cell>
          <cell r="AQ1447">
            <v>1.32</v>
          </cell>
          <cell r="AT1447">
            <v>70</v>
          </cell>
          <cell r="AU1447">
            <v>10</v>
          </cell>
          <cell r="AV1447">
            <v>1</v>
          </cell>
          <cell r="BA1447">
            <v>1</v>
          </cell>
          <cell r="BZ1447">
            <v>70</v>
          </cell>
          <cell r="CA1447">
            <v>10</v>
          </cell>
          <cell r="CS1447">
            <v>0</v>
          </cell>
          <cell r="DG1447" t="str">
            <v>)*1*2*10</v>
          </cell>
          <cell r="DI1447" t="str">
            <v>)*1*2*10</v>
          </cell>
        </row>
        <row r="1448">
          <cell r="F1448" t="str">
            <v>5.3-1102-27-1/1</v>
          </cell>
          <cell r="G1448" t="str">
            <v>Очистка лотков с решетками от наледи, сечение лотка 100 см2, количество креплений решеток 20 шт.( сечение 350 см2)</v>
          </cell>
          <cell r="H1448" t="str">
            <v>10 м</v>
          </cell>
          <cell r="I1448">
            <v>4.4139999999999997</v>
          </cell>
          <cell r="S1448">
            <v>41129.65</v>
          </cell>
          <cell r="U1448">
            <v>148.31039999999999</v>
          </cell>
          <cell r="X1448">
            <v>28790.76</v>
          </cell>
          <cell r="Y1448">
            <v>4112.97</v>
          </cell>
          <cell r="AE1448">
            <v>0</v>
          </cell>
          <cell r="AF1448">
            <v>9318</v>
          </cell>
          <cell r="AO1448">
            <v>931.8</v>
          </cell>
          <cell r="AQ1448">
            <v>3.36</v>
          </cell>
          <cell r="AT1448">
            <v>70</v>
          </cell>
          <cell r="AU1448">
            <v>10</v>
          </cell>
          <cell r="AV1448">
            <v>1</v>
          </cell>
          <cell r="BA1448">
            <v>1</v>
          </cell>
          <cell r="BZ1448">
            <v>70</v>
          </cell>
          <cell r="CA1448">
            <v>10</v>
          </cell>
          <cell r="CS1448">
            <v>0</v>
          </cell>
          <cell r="DG1448" t="str">
            <v>)*1*10</v>
          </cell>
          <cell r="DI1448" t="str">
            <v>)*1*10</v>
          </cell>
        </row>
        <row r="1449">
          <cell r="F1449" t="str">
            <v>5.3-1102-27-2/1</v>
          </cell>
          <cell r="G1449" t="str">
            <v>Очистка лотков с решетками от наледи, добавлять к 3-1102-27-1 на каждые 100 см2 изменения сечения лотка</v>
          </cell>
          <cell r="H1449" t="str">
            <v>10 м</v>
          </cell>
          <cell r="I1449">
            <v>4.4139999999999997</v>
          </cell>
          <cell r="S1449">
            <v>40394.720000000001</v>
          </cell>
          <cell r="U1449">
            <v>145.66199999999998</v>
          </cell>
          <cell r="X1449">
            <v>28276.3</v>
          </cell>
          <cell r="Y1449">
            <v>4039.47</v>
          </cell>
          <cell r="AE1449">
            <v>0</v>
          </cell>
          <cell r="AF1449">
            <v>9151.5</v>
          </cell>
          <cell r="AO1449">
            <v>366.06</v>
          </cell>
          <cell r="AQ1449">
            <v>1.32</v>
          </cell>
          <cell r="AT1449">
            <v>70</v>
          </cell>
          <cell r="AU1449">
            <v>10</v>
          </cell>
          <cell r="AV1449">
            <v>1</v>
          </cell>
          <cell r="BA1449">
            <v>1</v>
          </cell>
          <cell r="BZ1449">
            <v>70</v>
          </cell>
          <cell r="CA1449">
            <v>10</v>
          </cell>
          <cell r="CS1449">
            <v>0</v>
          </cell>
          <cell r="DG1449" t="str">
            <v>)*1*2,5*10</v>
          </cell>
          <cell r="DI1449" t="str">
            <v>)*1*2,5*10</v>
          </cell>
        </row>
        <row r="1450">
          <cell r="F1450" t="str">
            <v>5.3-1102-27-1/1</v>
          </cell>
          <cell r="G1450" t="str">
            <v>Очистка лотков с решетками от наледи, сечение лотка 100 см2, количество креплений решеток 20 шт.( сечение 400 см2)</v>
          </cell>
          <cell r="H1450" t="str">
            <v>10 м</v>
          </cell>
          <cell r="I1450">
            <v>9.18</v>
          </cell>
          <cell r="S1450">
            <v>85539.24</v>
          </cell>
          <cell r="U1450">
            <v>308.44799999999998</v>
          </cell>
          <cell r="X1450">
            <v>59877.47</v>
          </cell>
          <cell r="Y1450">
            <v>8553.92</v>
          </cell>
          <cell r="AE1450">
            <v>0</v>
          </cell>
          <cell r="AF1450">
            <v>9318</v>
          </cell>
          <cell r="AO1450">
            <v>931.8</v>
          </cell>
          <cell r="AQ1450">
            <v>3.36</v>
          </cell>
          <cell r="AT1450">
            <v>70</v>
          </cell>
          <cell r="AU1450">
            <v>10</v>
          </cell>
          <cell r="AV1450">
            <v>1</v>
          </cell>
          <cell r="BA1450">
            <v>1</v>
          </cell>
          <cell r="BZ1450">
            <v>70</v>
          </cell>
          <cell r="CA1450">
            <v>10</v>
          </cell>
          <cell r="CS1450">
            <v>0</v>
          </cell>
          <cell r="DG1450" t="str">
            <v>)*1*10</v>
          </cell>
          <cell r="DI1450" t="str">
            <v>)*1*10</v>
          </cell>
        </row>
        <row r="1451">
          <cell r="F1451" t="str">
            <v>5.3-1102-27-2/1</v>
          </cell>
          <cell r="G1451" t="str">
            <v>Очистка лотков с решетками от наледи, добавлять к 3-1102-27-1 на каждые 100 см2 изменения сечения лотка</v>
          </cell>
          <cell r="H1451" t="str">
            <v>10 м</v>
          </cell>
          <cell r="I1451">
            <v>9.18</v>
          </cell>
          <cell r="S1451">
            <v>100812.92</v>
          </cell>
          <cell r="U1451">
            <v>363.52800000000002</v>
          </cell>
          <cell r="X1451">
            <v>70569.039999999994</v>
          </cell>
          <cell r="Y1451">
            <v>10081.290000000001</v>
          </cell>
          <cell r="AE1451">
            <v>0</v>
          </cell>
          <cell r="AF1451">
            <v>10981.8</v>
          </cell>
          <cell r="AO1451">
            <v>366.06</v>
          </cell>
          <cell r="AQ1451">
            <v>1.32</v>
          </cell>
          <cell r="AT1451">
            <v>70</v>
          </cell>
          <cell r="AU1451">
            <v>10</v>
          </cell>
          <cell r="AV1451">
            <v>1</v>
          </cell>
          <cell r="BA1451">
            <v>1</v>
          </cell>
          <cell r="BZ1451">
            <v>70</v>
          </cell>
          <cell r="CA1451">
            <v>10</v>
          </cell>
          <cell r="CS1451">
            <v>0</v>
          </cell>
          <cell r="DG1451" t="str">
            <v>)*1*3*10</v>
          </cell>
          <cell r="DI1451" t="str">
            <v>)*1*3*10</v>
          </cell>
        </row>
        <row r="1452">
          <cell r="F1452" t="str">
            <v>5.3-1102-27-1/1</v>
          </cell>
          <cell r="G1452" t="str">
            <v>Очистка лотков с решетками от наледи, сечение лотка 100 см2, количество креплений решеток 20 шт.( сечение 450 см2)</v>
          </cell>
          <cell r="H1452" t="str">
            <v>10 м</v>
          </cell>
          <cell r="I1452">
            <v>6.69</v>
          </cell>
          <cell r="S1452">
            <v>62337.42</v>
          </cell>
          <cell r="U1452">
            <v>224.78400000000002</v>
          </cell>
          <cell r="X1452">
            <v>43636.19</v>
          </cell>
          <cell r="Y1452">
            <v>6233.74</v>
          </cell>
          <cell r="AE1452">
            <v>0</v>
          </cell>
          <cell r="AF1452">
            <v>9318</v>
          </cell>
          <cell r="AO1452">
            <v>931.8</v>
          </cell>
          <cell r="AQ1452">
            <v>3.36</v>
          </cell>
          <cell r="AT1452">
            <v>70</v>
          </cell>
          <cell r="AU1452">
            <v>10</v>
          </cell>
          <cell r="AV1452">
            <v>1</v>
          </cell>
          <cell r="BA1452">
            <v>1</v>
          </cell>
          <cell r="BZ1452">
            <v>70</v>
          </cell>
          <cell r="CA1452">
            <v>10</v>
          </cell>
          <cell r="CS1452">
            <v>0</v>
          </cell>
          <cell r="DG1452" t="str">
            <v>)*1*10</v>
          </cell>
          <cell r="DI1452" t="str">
            <v>)*1*10</v>
          </cell>
        </row>
        <row r="1453">
          <cell r="F1453" t="str">
            <v>5.3-1102-27-2/1</v>
          </cell>
          <cell r="G1453" t="str">
            <v>Очистка лотков с решетками от наледи, добавлять к 3-1102-27-1 на каждые 100 см2 изменения сечения лотка</v>
          </cell>
          <cell r="H1453" t="str">
            <v>10 м</v>
          </cell>
          <cell r="I1453">
            <v>6.69</v>
          </cell>
          <cell r="S1453">
            <v>85712.95</v>
          </cell>
          <cell r="U1453">
            <v>309.07800000000003</v>
          </cell>
          <cell r="X1453">
            <v>59999.07</v>
          </cell>
          <cell r="Y1453">
            <v>8571.2999999999993</v>
          </cell>
          <cell r="AE1453">
            <v>0</v>
          </cell>
          <cell r="AF1453">
            <v>12812.1</v>
          </cell>
          <cell r="AO1453">
            <v>366.06</v>
          </cell>
          <cell r="AQ1453">
            <v>1.32</v>
          </cell>
          <cell r="AT1453">
            <v>70</v>
          </cell>
          <cell r="AU1453">
            <v>10</v>
          </cell>
          <cell r="AV1453">
            <v>1</v>
          </cell>
          <cell r="BA1453">
            <v>1</v>
          </cell>
          <cell r="BZ1453">
            <v>70</v>
          </cell>
          <cell r="CA1453">
            <v>10</v>
          </cell>
          <cell r="CS1453">
            <v>0</v>
          </cell>
          <cell r="DG1453" t="str">
            <v>)*1*3,5*10</v>
          </cell>
          <cell r="DI1453" t="str">
            <v>)*1*3,5*10</v>
          </cell>
        </row>
        <row r="1454">
          <cell r="F1454" t="str">
            <v>5.3-1102-27-1/1</v>
          </cell>
          <cell r="G1454" t="str">
            <v>Очистка лотков с решетками от наледи, сечение лотка 100 см2, количество креплений решеток 20 шт.( сечение 500 см2)</v>
          </cell>
          <cell r="H1454" t="str">
            <v>10 м</v>
          </cell>
          <cell r="I1454">
            <v>16.236000000000001</v>
          </cell>
          <cell r="S1454">
            <v>151287.04999999999</v>
          </cell>
          <cell r="U1454">
            <v>545.52960000000007</v>
          </cell>
          <cell r="X1454">
            <v>105900.94</v>
          </cell>
          <cell r="Y1454">
            <v>15128.71</v>
          </cell>
          <cell r="AE1454">
            <v>0</v>
          </cell>
          <cell r="AF1454">
            <v>9318</v>
          </cell>
          <cell r="AO1454">
            <v>931.8</v>
          </cell>
          <cell r="AQ1454">
            <v>3.36</v>
          </cell>
          <cell r="AT1454">
            <v>70</v>
          </cell>
          <cell r="AU1454">
            <v>10</v>
          </cell>
          <cell r="AV1454">
            <v>1</v>
          </cell>
          <cell r="BA1454">
            <v>1</v>
          </cell>
          <cell r="BZ1454">
            <v>70</v>
          </cell>
          <cell r="CA1454">
            <v>10</v>
          </cell>
          <cell r="CS1454">
            <v>0</v>
          </cell>
          <cell r="DG1454" t="str">
            <v>)*1*10</v>
          </cell>
          <cell r="DI1454" t="str">
            <v>)*1*10</v>
          </cell>
        </row>
        <row r="1455">
          <cell r="F1455" t="str">
            <v>5.3-1102-27-2/1</v>
          </cell>
          <cell r="G1455" t="str">
            <v>Очистка лотков с решетками от наледи, добавлять к 3-1102-27-1 на каждые 100 см2 изменения сечения лотка</v>
          </cell>
          <cell r="H1455" t="str">
            <v>10 м</v>
          </cell>
          <cell r="I1455">
            <v>16.236000000000001</v>
          </cell>
          <cell r="S1455">
            <v>237734.01</v>
          </cell>
          <cell r="U1455">
            <v>857.26080000000013</v>
          </cell>
          <cell r="X1455">
            <v>166413.81</v>
          </cell>
          <cell r="Y1455">
            <v>23773.4</v>
          </cell>
          <cell r="AE1455">
            <v>0</v>
          </cell>
          <cell r="AF1455">
            <v>14642.4</v>
          </cell>
          <cell r="AO1455">
            <v>366.06</v>
          </cell>
          <cell r="AQ1455">
            <v>1.32</v>
          </cell>
          <cell r="AT1455">
            <v>70</v>
          </cell>
          <cell r="AU1455">
            <v>10</v>
          </cell>
          <cell r="AV1455">
            <v>1</v>
          </cell>
          <cell r="BA1455">
            <v>1</v>
          </cell>
          <cell r="BZ1455">
            <v>70</v>
          </cell>
          <cell r="CA1455">
            <v>10</v>
          </cell>
          <cell r="CS1455">
            <v>0</v>
          </cell>
          <cell r="DG1455" t="str">
            <v>)*1*4*10</v>
          </cell>
          <cell r="DI1455" t="str">
            <v>)*1*4*10</v>
          </cell>
        </row>
        <row r="1456">
          <cell r="F1456" t="str">
            <v>5.3-1102-27-1/1</v>
          </cell>
          <cell r="G1456" t="str">
            <v>Очистка лотков с решетками от наледи, сечение лотка 100 см2, количество креплений решеток 20 шт.( сечение 825 см2)</v>
          </cell>
          <cell r="H1456" t="str">
            <v>10 м</v>
          </cell>
          <cell r="I1456">
            <v>6.6859999999999999</v>
          </cell>
          <cell r="S1456">
            <v>62300.15</v>
          </cell>
          <cell r="U1456">
            <v>224.64960000000002</v>
          </cell>
          <cell r="X1456">
            <v>43610.11</v>
          </cell>
          <cell r="Y1456">
            <v>6230.02</v>
          </cell>
          <cell r="AE1456">
            <v>0</v>
          </cell>
          <cell r="AF1456">
            <v>9318</v>
          </cell>
          <cell r="AO1456">
            <v>931.8</v>
          </cell>
          <cell r="AQ1456">
            <v>3.36</v>
          </cell>
          <cell r="AT1456">
            <v>70</v>
          </cell>
          <cell r="AU1456">
            <v>10</v>
          </cell>
          <cell r="AV1456">
            <v>1</v>
          </cell>
          <cell r="BA1456">
            <v>1</v>
          </cell>
          <cell r="BZ1456">
            <v>70</v>
          </cell>
          <cell r="CA1456">
            <v>10</v>
          </cell>
          <cell r="CS1456">
            <v>0</v>
          </cell>
          <cell r="DG1456" t="str">
            <v>)*1*10</v>
          </cell>
          <cell r="DI1456" t="str">
            <v>)*1*10</v>
          </cell>
        </row>
        <row r="1457">
          <cell r="F1457" t="str">
            <v>5.3-1102-27-2/1</v>
          </cell>
          <cell r="G1457" t="str">
            <v>Очистка лотков с решетками от наледи, добавлять к 3-1102-27-1 на каждые 100 см2 изменения сечения лотка</v>
          </cell>
          <cell r="H1457" t="str">
            <v>10 м</v>
          </cell>
          <cell r="I1457">
            <v>6.6859999999999999</v>
          </cell>
          <cell r="S1457">
            <v>177442.09</v>
          </cell>
          <cell r="U1457">
            <v>639.85019999999997</v>
          </cell>
          <cell r="X1457">
            <v>124209.46</v>
          </cell>
          <cell r="Y1457">
            <v>17744.21</v>
          </cell>
          <cell r="AE1457">
            <v>0</v>
          </cell>
          <cell r="AF1457">
            <v>26539.35</v>
          </cell>
          <cell r="AO1457">
            <v>366.06</v>
          </cell>
          <cell r="AQ1457">
            <v>1.32</v>
          </cell>
          <cell r="AT1457">
            <v>70</v>
          </cell>
          <cell r="AU1457">
            <v>10</v>
          </cell>
          <cell r="AV1457">
            <v>1</v>
          </cell>
          <cell r="BA1457">
            <v>1</v>
          </cell>
          <cell r="BZ1457">
            <v>70</v>
          </cell>
          <cell r="CA1457">
            <v>10</v>
          </cell>
          <cell r="CS1457">
            <v>0</v>
          </cell>
          <cell r="DG1457" t="str">
            <v>)*1*7,25*10</v>
          </cell>
          <cell r="DI1457" t="str">
            <v>)*1*7,25*10</v>
          </cell>
        </row>
        <row r="1458">
          <cell r="F1458" t="str">
            <v>5.3-1102-27-1/1</v>
          </cell>
          <cell r="G1458" t="str">
            <v>Очистка лотков с решетками от наледи, сечение лотка 100 см2, количество креплений решеток 20 шт.( сечение 1200 см2)</v>
          </cell>
          <cell r="H1458" t="str">
            <v>10 м</v>
          </cell>
          <cell r="I1458">
            <v>7.3280000000000003</v>
          </cell>
          <cell r="S1458">
            <v>68282.3</v>
          </cell>
          <cell r="U1458">
            <v>246.22080000000003</v>
          </cell>
          <cell r="X1458">
            <v>47797.61</v>
          </cell>
          <cell r="Y1458">
            <v>6828.23</v>
          </cell>
          <cell r="AE1458">
            <v>0</v>
          </cell>
          <cell r="AF1458">
            <v>9318</v>
          </cell>
          <cell r="AO1458">
            <v>931.8</v>
          </cell>
          <cell r="AQ1458">
            <v>3.36</v>
          </cell>
          <cell r="AT1458">
            <v>70</v>
          </cell>
          <cell r="AU1458">
            <v>10</v>
          </cell>
          <cell r="AV1458">
            <v>1</v>
          </cell>
          <cell r="BA1458">
            <v>1</v>
          </cell>
          <cell r="BZ1458">
            <v>70</v>
          </cell>
          <cell r="CA1458">
            <v>10</v>
          </cell>
          <cell r="CS1458">
            <v>0</v>
          </cell>
          <cell r="DG1458" t="str">
            <v>)*1*10</v>
          </cell>
          <cell r="DI1458" t="str">
            <v>)*1*10</v>
          </cell>
        </row>
        <row r="1459">
          <cell r="F1459" t="str">
            <v>5.3-1102-27-2/1</v>
          </cell>
          <cell r="G1459" t="str">
            <v>Очистка лотков с решетками от наледи, добавлять к 3-1102-27-1 на каждые 100 см2 изменения сечения лотка</v>
          </cell>
          <cell r="H1459" t="str">
            <v>10 м</v>
          </cell>
          <cell r="I1459">
            <v>7.3280000000000003</v>
          </cell>
          <cell r="S1459">
            <v>295073.64</v>
          </cell>
          <cell r="U1459">
            <v>1064.0256000000002</v>
          </cell>
          <cell r="X1459">
            <v>206551.55</v>
          </cell>
          <cell r="Y1459">
            <v>29507.360000000001</v>
          </cell>
          <cell r="AE1459">
            <v>0</v>
          </cell>
          <cell r="AF1459">
            <v>40266.6</v>
          </cell>
          <cell r="AO1459">
            <v>366.06</v>
          </cell>
          <cell r="AQ1459">
            <v>1.32</v>
          </cell>
          <cell r="AT1459">
            <v>70</v>
          </cell>
          <cell r="AU1459">
            <v>10</v>
          </cell>
          <cell r="AV1459">
            <v>1</v>
          </cell>
          <cell r="BA1459">
            <v>1</v>
          </cell>
          <cell r="BZ1459">
            <v>70</v>
          </cell>
          <cell r="CA1459">
            <v>10</v>
          </cell>
          <cell r="CS1459">
            <v>0</v>
          </cell>
          <cell r="DG1459" t="str">
            <v>)*1*11*10</v>
          </cell>
          <cell r="DI1459" t="str">
            <v>)*1*11*10</v>
          </cell>
        </row>
        <row r="1460">
          <cell r="F1460" t="str">
            <v>5.3-1102-27-1/1</v>
          </cell>
          <cell r="G1460" t="str">
            <v>Очистка лотков с решетками от наледи, сечение лотка 100 см2, количество креплений решеток 20 шт.( сечение 2400 см2)</v>
          </cell>
          <cell r="H1460" t="str">
            <v>10 м</v>
          </cell>
          <cell r="I1460">
            <v>6.35</v>
          </cell>
          <cell r="S1460">
            <v>59169.3</v>
          </cell>
          <cell r="U1460">
            <v>213.35999999999999</v>
          </cell>
          <cell r="X1460">
            <v>41418.51</v>
          </cell>
          <cell r="Y1460">
            <v>5916.93</v>
          </cell>
          <cell r="AE1460">
            <v>0</v>
          </cell>
          <cell r="AF1460">
            <v>9318</v>
          </cell>
          <cell r="AO1460">
            <v>931.8</v>
          </cell>
          <cell r="AQ1460">
            <v>3.36</v>
          </cell>
          <cell r="AT1460">
            <v>70</v>
          </cell>
          <cell r="AU1460">
            <v>10</v>
          </cell>
          <cell r="AV1460">
            <v>1</v>
          </cell>
          <cell r="BA1460">
            <v>1</v>
          </cell>
          <cell r="BZ1460">
            <v>70</v>
          </cell>
          <cell r="CA1460">
            <v>10</v>
          </cell>
          <cell r="CS1460">
            <v>0</v>
          </cell>
          <cell r="DG1460" t="str">
            <v>)*1*10</v>
          </cell>
          <cell r="DI1460" t="str">
            <v>)*1*10</v>
          </cell>
        </row>
        <row r="1461">
          <cell r="F1461" t="str">
            <v>5.3-1102-27-2/1</v>
          </cell>
          <cell r="G1461" t="str">
            <v>Очистка лотков с решетками от наледи, добавлять к 3-1102-27-1 на каждые 100 см2 изменения сечения лотка</v>
          </cell>
          <cell r="H1461" t="str">
            <v>10 м</v>
          </cell>
          <cell r="I1461">
            <v>6.35</v>
          </cell>
          <cell r="S1461">
            <v>534630.63</v>
          </cell>
          <cell r="U1461">
            <v>1927.8600000000001</v>
          </cell>
          <cell r="X1461">
            <v>374241.44</v>
          </cell>
          <cell r="Y1461">
            <v>53463.06</v>
          </cell>
          <cell r="AE1461">
            <v>0</v>
          </cell>
          <cell r="AF1461">
            <v>84193.8</v>
          </cell>
          <cell r="AO1461">
            <v>366.06</v>
          </cell>
          <cell r="AQ1461">
            <v>1.32</v>
          </cell>
          <cell r="AT1461">
            <v>70</v>
          </cell>
          <cell r="AU1461">
            <v>10</v>
          </cell>
          <cell r="AV1461">
            <v>1</v>
          </cell>
          <cell r="BA1461">
            <v>1</v>
          </cell>
          <cell r="BZ1461">
            <v>70</v>
          </cell>
          <cell r="CA1461">
            <v>10</v>
          </cell>
          <cell r="CS1461">
            <v>0</v>
          </cell>
          <cell r="DG1461" t="str">
            <v>)*1*23*10</v>
          </cell>
          <cell r="DI1461" t="str">
            <v>)*1*23*10</v>
          </cell>
        </row>
        <row r="1462">
          <cell r="F1462" t="str">
            <v>5.3-1102-27-3/1</v>
          </cell>
          <cell r="G1462" t="str">
            <v>Очистка лотков с решетками от наледи, добавлять к 3-1102-27-1 на каждые 10 креплений решеток</v>
          </cell>
          <cell r="H1462" t="str">
            <v>10 шт.</v>
          </cell>
          <cell r="I1462">
            <v>182.52</v>
          </cell>
          <cell r="S1462">
            <v>182227.97</v>
          </cell>
          <cell r="U1462">
            <v>657.072</v>
          </cell>
          <cell r="X1462">
            <v>127559.58</v>
          </cell>
          <cell r="Y1462">
            <v>18222.8</v>
          </cell>
          <cell r="AE1462">
            <v>0</v>
          </cell>
          <cell r="AF1462">
            <v>998.4</v>
          </cell>
          <cell r="AO1462">
            <v>99.84</v>
          </cell>
          <cell r="AQ1462">
            <v>0.36</v>
          </cell>
          <cell r="AT1462">
            <v>70</v>
          </cell>
          <cell r="AU1462">
            <v>10</v>
          </cell>
          <cell r="AV1462">
            <v>1</v>
          </cell>
          <cell r="BA1462">
            <v>1</v>
          </cell>
          <cell r="BZ1462">
            <v>70</v>
          </cell>
          <cell r="CA1462">
            <v>10</v>
          </cell>
          <cell r="CS1462">
            <v>0</v>
          </cell>
          <cell r="DG1462" t="str">
            <v>)*1*10</v>
          </cell>
          <cell r="DI1462" t="str">
            <v>)*1*10</v>
          </cell>
        </row>
        <row r="1464">
          <cell r="G1464" t="str">
            <v>Уход за водотводными лотками.( 1480,34 м )</v>
          </cell>
        </row>
        <row r="1494">
          <cell r="G1494" t="str">
            <v>Содержание информационных стендов и указателей( 73 шт.)</v>
          </cell>
        </row>
        <row r="1498">
          <cell r="F1498" t="str">
            <v>5.3-1102-6-1/1</v>
          </cell>
          <cell r="G1498" t="str">
            <v>Очистка от снега информационных щитов</v>
          </cell>
          <cell r="H1498" t="str">
            <v>100 м2</v>
          </cell>
          <cell r="I1498">
            <v>0.38100000000000001</v>
          </cell>
          <cell r="S1498">
            <v>4080.78</v>
          </cell>
          <cell r="U1498">
            <v>16.459200000000003</v>
          </cell>
          <cell r="X1498">
            <v>2856.55</v>
          </cell>
          <cell r="Y1498">
            <v>408.08</v>
          </cell>
          <cell r="AE1498">
            <v>0</v>
          </cell>
          <cell r="AF1498">
            <v>10710.72</v>
          </cell>
          <cell r="AO1498">
            <v>223.14</v>
          </cell>
          <cell r="AQ1498">
            <v>0.9</v>
          </cell>
          <cell r="AT1498">
            <v>70</v>
          </cell>
          <cell r="AU1498">
            <v>10</v>
          </cell>
          <cell r="AV1498">
            <v>1</v>
          </cell>
          <cell r="BA1498">
            <v>1</v>
          </cell>
          <cell r="BZ1498">
            <v>70</v>
          </cell>
          <cell r="CA1498">
            <v>10</v>
          </cell>
          <cell r="CS1498">
            <v>0</v>
          </cell>
          <cell r="DG1498" t="str">
            <v>)*1*48</v>
          </cell>
          <cell r="DI1498" t="str">
            <v>)*1*48</v>
          </cell>
        </row>
        <row r="1500">
          <cell r="G1500" t="str">
            <v>Содержание информационных стендов и указателей( 73 шт.)</v>
          </cell>
        </row>
        <row r="1530">
          <cell r="G1530" t="str">
            <v>Зенитные фонари. ( 381,32м2 ).</v>
          </cell>
        </row>
        <row r="1534">
          <cell r="F1534" t="str">
            <v>5.3-1102-31-1/1</v>
          </cell>
          <cell r="G1534" t="str">
            <v>Удаление снега и наледи ручным способом со световых зенитных фонарей, расположенных в зеленой зоне</v>
          </cell>
          <cell r="H1534" t="str">
            <v>10 м2</v>
          </cell>
          <cell r="I1534">
            <v>38.131999999999998</v>
          </cell>
          <cell r="S1534">
            <v>40834.800000000003</v>
          </cell>
          <cell r="U1534">
            <v>164.73024000000001</v>
          </cell>
          <cell r="X1534">
            <v>28584.36</v>
          </cell>
          <cell r="Y1534">
            <v>4083.48</v>
          </cell>
          <cell r="AE1534">
            <v>0</v>
          </cell>
          <cell r="AF1534">
            <v>1070.8800000000001</v>
          </cell>
          <cell r="AO1534">
            <v>22.31</v>
          </cell>
          <cell r="AQ1534">
            <v>0.09</v>
          </cell>
          <cell r="AT1534">
            <v>70</v>
          </cell>
          <cell r="AU1534">
            <v>10</v>
          </cell>
          <cell r="AV1534">
            <v>1</v>
          </cell>
          <cell r="BA1534">
            <v>1</v>
          </cell>
          <cell r="BZ1534">
            <v>70</v>
          </cell>
          <cell r="CA1534">
            <v>10</v>
          </cell>
          <cell r="CS1534">
            <v>0</v>
          </cell>
          <cell r="DG1534" t="str">
            <v>)*1*48</v>
          </cell>
          <cell r="DI1534" t="str">
            <v>)*1*48</v>
          </cell>
        </row>
        <row r="1536">
          <cell r="G1536" t="str">
            <v>Зенитные фонари. ( 381,32м2 ).</v>
          </cell>
        </row>
        <row r="1566">
          <cell r="G1566" t="str">
            <v>Велосипедные парковки ( 2 шт.)</v>
          </cell>
        </row>
        <row r="1570">
          <cell r="F1570" t="str">
            <v>5.3-1102-30-1/1</v>
          </cell>
          <cell r="G1570" t="str">
            <v>Удаление снега и наледи ручным способом - велопарковки</v>
          </cell>
          <cell r="H1570" t="str">
            <v>10 м2</v>
          </cell>
          <cell r="I1570">
            <v>0.56000000000000005</v>
          </cell>
          <cell r="S1570">
            <v>866.34</v>
          </cell>
          <cell r="U1570">
            <v>3.4944000000000006</v>
          </cell>
          <cell r="X1570">
            <v>606.44000000000005</v>
          </cell>
          <cell r="Y1570">
            <v>86.63</v>
          </cell>
          <cell r="AE1570">
            <v>0</v>
          </cell>
          <cell r="AF1570">
            <v>1547.04</v>
          </cell>
          <cell r="AO1570">
            <v>32.229999999999997</v>
          </cell>
          <cell r="AQ1570">
            <v>0.13</v>
          </cell>
          <cell r="AT1570">
            <v>70</v>
          </cell>
          <cell r="AU1570">
            <v>10</v>
          </cell>
          <cell r="AV1570">
            <v>1</v>
          </cell>
          <cell r="BA1570">
            <v>1</v>
          </cell>
          <cell r="BZ1570">
            <v>70</v>
          </cell>
          <cell r="CA1570">
            <v>10</v>
          </cell>
          <cell r="CS1570">
            <v>0</v>
          </cell>
          <cell r="DG1570" t="str">
            <v>)*1*48</v>
          </cell>
          <cell r="DI1570" t="str">
            <v>)*1*48</v>
          </cell>
        </row>
        <row r="1572">
          <cell r="G1572" t="str">
            <v>Велосипедные парковки ( 2 шт.)</v>
          </cell>
        </row>
        <row r="1602">
          <cell r="G1602" t="str">
            <v>Гранитные урны ( 5 шт.)</v>
          </cell>
        </row>
        <row r="1606">
          <cell r="F1606" t="str">
            <v>5.3-1102-4-1/1</v>
          </cell>
          <cell r="G1606" t="str">
            <v>Очистка скамеек, садовых диванов, урн от снега вручную ( гранитные урны )</v>
          </cell>
          <cell r="H1606" t="str">
            <v>100 м2</v>
          </cell>
          <cell r="I1606">
            <v>0.05</v>
          </cell>
          <cell r="S1606">
            <v>1672.03</v>
          </cell>
          <cell r="U1606">
            <v>6.7439999999999998</v>
          </cell>
          <cell r="X1606">
            <v>1170.42</v>
          </cell>
          <cell r="Y1606">
            <v>167.2</v>
          </cell>
          <cell r="AE1606">
            <v>0</v>
          </cell>
          <cell r="AF1606">
            <v>33440.639999999999</v>
          </cell>
          <cell r="AO1606">
            <v>696.68</v>
          </cell>
          <cell r="AQ1606">
            <v>2.81</v>
          </cell>
          <cell r="AT1606">
            <v>70</v>
          </cell>
          <cell r="AU1606">
            <v>10</v>
          </cell>
          <cell r="AV1606">
            <v>1</v>
          </cell>
          <cell r="BA1606">
            <v>1</v>
          </cell>
          <cell r="BZ1606">
            <v>70</v>
          </cell>
          <cell r="CA1606">
            <v>10</v>
          </cell>
          <cell r="CS1606">
            <v>0</v>
          </cell>
          <cell r="DG1606" t="str">
            <v>)*1*48</v>
          </cell>
          <cell r="DI1606" t="str">
            <v>)*1*48</v>
          </cell>
        </row>
        <row r="1608">
          <cell r="G1608" t="str">
            <v>Гранитные урны ( 5 шт.)</v>
          </cell>
        </row>
        <row r="1638">
          <cell r="G1638" t="str">
            <v>Нестационарные торговые объекты</v>
          </cell>
        </row>
        <row r="1642">
          <cell r="F1642" t="str">
            <v>калькуляция</v>
          </cell>
          <cell r="G1642" t="str">
            <v>Протирка электронных аппаратов</v>
          </cell>
          <cell r="H1642" t="str">
            <v>м2</v>
          </cell>
          <cell r="I1642">
            <v>128.12</v>
          </cell>
          <cell r="S1642">
            <v>10270.1</v>
          </cell>
          <cell r="X1642">
            <v>0</v>
          </cell>
          <cell r="Y1642">
            <v>0</v>
          </cell>
          <cell r="AE1642">
            <v>0</v>
          </cell>
          <cell r="AF1642">
            <v>80.16</v>
          </cell>
          <cell r="AO1642">
            <v>1.67</v>
          </cell>
          <cell r="AV1642">
            <v>1</v>
          </cell>
          <cell r="BA1642">
            <v>1</v>
          </cell>
          <cell r="BZ1642">
            <v>0</v>
          </cell>
          <cell r="CA1642">
            <v>0</v>
          </cell>
          <cell r="CS1642">
            <v>0</v>
          </cell>
          <cell r="DG1642" t="str">
            <v>)*1*48</v>
          </cell>
        </row>
        <row r="1643">
          <cell r="F1643" t="str">
            <v>цена поставщика</v>
          </cell>
          <cell r="G1643" t="str">
            <v>Средство моющее незамерзающее для протирки Биомол АД-У</v>
          </cell>
          <cell r="H1643" t="str">
            <v>л</v>
          </cell>
          <cell r="I1643">
            <v>1.2299519999999999</v>
          </cell>
          <cell r="O1643">
            <v>291.23</v>
          </cell>
          <cell r="X1643">
            <v>0</v>
          </cell>
          <cell r="Y1643">
            <v>0</v>
          </cell>
          <cell r="AE1643">
            <v>0</v>
          </cell>
          <cell r="AF1643">
            <v>0</v>
          </cell>
          <cell r="AK1643">
            <v>236.78</v>
          </cell>
          <cell r="AV1643">
            <v>1</v>
          </cell>
          <cell r="AW1643">
            <v>1</v>
          </cell>
          <cell r="BC1643">
            <v>1</v>
          </cell>
          <cell r="BZ1643">
            <v>0</v>
          </cell>
          <cell r="CA1643">
            <v>0</v>
          </cell>
          <cell r="CS1643">
            <v>0</v>
          </cell>
        </row>
        <row r="1645">
          <cell r="G1645" t="str">
            <v>Нестационарные торговые объекты</v>
          </cell>
        </row>
        <row r="1675">
          <cell r="G1675" t="str">
            <v>Снежный борт на границе между покрытием парковым со вставками участков зеленых насаждений и другими садово-парковым покрытиями.Установка вешек сигнальных дорожных.</v>
          </cell>
        </row>
        <row r="1679">
          <cell r="F1679" t="str">
            <v>5.3-1102-29-1/1</v>
          </cell>
          <cell r="G1679" t="str">
            <v>Сооружение борта из снега по границе паркового покрытия и зеленых насаждений при отсутствии бортового камня</v>
          </cell>
          <cell r="H1679" t="str">
            <v>10 м</v>
          </cell>
          <cell r="I1679">
            <v>401</v>
          </cell>
          <cell r="Q1679">
            <v>90144.8</v>
          </cell>
          <cell r="R1679">
            <v>43548.6</v>
          </cell>
          <cell r="S1679">
            <v>1014048.8</v>
          </cell>
          <cell r="U1679">
            <v>4090.2</v>
          </cell>
          <cell r="X1679">
            <v>709834.16</v>
          </cell>
          <cell r="Y1679">
            <v>101404.88</v>
          </cell>
          <cell r="AE1679">
            <v>108.6</v>
          </cell>
          <cell r="AF1679">
            <v>2528.8000000000002</v>
          </cell>
          <cell r="AM1679">
            <v>11.24</v>
          </cell>
          <cell r="AN1679">
            <v>5.43</v>
          </cell>
          <cell r="AO1679">
            <v>126.44</v>
          </cell>
          <cell r="AQ1679">
            <v>0.51</v>
          </cell>
          <cell r="AT1679">
            <v>70</v>
          </cell>
          <cell r="AU1679">
            <v>10</v>
          </cell>
          <cell r="AV1679">
            <v>1</v>
          </cell>
          <cell r="BA1679">
            <v>1</v>
          </cell>
          <cell r="BB1679">
            <v>1</v>
          </cell>
          <cell r="BS1679">
            <v>1</v>
          </cell>
          <cell r="BZ1679">
            <v>70</v>
          </cell>
          <cell r="CA1679">
            <v>10</v>
          </cell>
          <cell r="CS1679">
            <v>108.6</v>
          </cell>
          <cell r="DE1679" t="str">
            <v>)*1*20</v>
          </cell>
          <cell r="DF1679" t="str">
            <v>)*1*20</v>
          </cell>
          <cell r="DG1679" t="str">
            <v>)*1*20</v>
          </cell>
          <cell r="DI1679" t="str">
            <v>)*1*20</v>
          </cell>
        </row>
        <row r="1680">
          <cell r="F1680" t="str">
            <v>цена псставщика</v>
          </cell>
          <cell r="G1680" t="str">
            <v>Вешка сигнальная</v>
          </cell>
          <cell r="H1680" t="str">
            <v>шт.</v>
          </cell>
          <cell r="I1680">
            <v>49.999887999999999</v>
          </cell>
          <cell r="O1680">
            <v>32458.43</v>
          </cell>
          <cell r="X1680">
            <v>0</v>
          </cell>
          <cell r="Y1680">
            <v>0</v>
          </cell>
          <cell r="AE1680">
            <v>0</v>
          </cell>
          <cell r="AF1680">
            <v>0</v>
          </cell>
          <cell r="AK1680">
            <v>649.16999999999996</v>
          </cell>
          <cell r="AV1680">
            <v>1</v>
          </cell>
          <cell r="AW1680">
            <v>1</v>
          </cell>
          <cell r="BC1680">
            <v>1</v>
          </cell>
          <cell r="BZ1680">
            <v>70</v>
          </cell>
          <cell r="CA1680">
            <v>10</v>
          </cell>
          <cell r="CS1680">
            <v>0</v>
          </cell>
        </row>
        <row r="1681">
          <cell r="F1681" t="str">
            <v>5.3-1102-29-2/1</v>
          </cell>
          <cell r="G1681" t="str">
            <v>Разборка борта из снега по границе паркового покрытия и зеленых насаждений при отсутствии бортового камня</v>
          </cell>
          <cell r="H1681" t="str">
            <v>10 м</v>
          </cell>
          <cell r="I1681">
            <v>401</v>
          </cell>
          <cell r="Q1681">
            <v>90144.8</v>
          </cell>
          <cell r="R1681">
            <v>43548.6</v>
          </cell>
          <cell r="S1681">
            <v>695975.6</v>
          </cell>
          <cell r="U1681">
            <v>2807</v>
          </cell>
          <cell r="X1681">
            <v>487182.92</v>
          </cell>
          <cell r="Y1681">
            <v>69597.56</v>
          </cell>
          <cell r="AE1681">
            <v>108.6</v>
          </cell>
          <cell r="AF1681">
            <v>1735.6</v>
          </cell>
          <cell r="AM1681">
            <v>11.24</v>
          </cell>
          <cell r="AN1681">
            <v>5.43</v>
          </cell>
          <cell r="AO1681">
            <v>86.78</v>
          </cell>
          <cell r="AQ1681">
            <v>0.35</v>
          </cell>
          <cell r="AT1681">
            <v>70</v>
          </cell>
          <cell r="AU1681">
            <v>10</v>
          </cell>
          <cell r="AV1681">
            <v>1</v>
          </cell>
          <cell r="BA1681">
            <v>1</v>
          </cell>
          <cell r="BB1681">
            <v>1</v>
          </cell>
          <cell r="BS1681">
            <v>1</v>
          </cell>
          <cell r="BZ1681">
            <v>70</v>
          </cell>
          <cell r="CA1681">
            <v>10</v>
          </cell>
          <cell r="CS1681">
            <v>108.6</v>
          </cell>
          <cell r="DE1681" t="str">
            <v>)*1*20</v>
          </cell>
          <cell r="DF1681" t="str">
            <v>)*1*20</v>
          </cell>
          <cell r="DG1681" t="str">
            <v>)*1*20</v>
          </cell>
          <cell r="DI1681" t="str">
            <v>)*1*20</v>
          </cell>
        </row>
        <row r="1683">
          <cell r="G1683" t="str">
            <v>Снежный борт на границе между покрытием парковым со вставками участков зеленых насаждений и другими садово-парковым покрытиями.Установка вешек сигнальных дорожных.</v>
          </cell>
        </row>
        <row r="1713">
          <cell r="G1713" t="str">
            <v>"Патриаршее подворье" ( S= 4987,1м2)</v>
          </cell>
        </row>
        <row r="1717">
          <cell r="G1717" t="str">
            <v>Содержание покрытий " Патриаршего подворья ".</v>
          </cell>
        </row>
        <row r="1721">
          <cell r="F1721" t="str">
            <v>калькуляция</v>
          </cell>
          <cell r="G1721" t="str">
            <v>Подметание  механизированным способом ( S= 4987,1м2 *0,7=3490,97 м2)</v>
          </cell>
          <cell r="H1721" t="str">
            <v>м2</v>
          </cell>
          <cell r="I1721">
            <v>3490.97</v>
          </cell>
          <cell r="Q1721">
            <v>1488549.61</v>
          </cell>
          <cell r="X1721">
            <v>0</v>
          </cell>
          <cell r="Y1721">
            <v>0</v>
          </cell>
          <cell r="AE1721">
            <v>0</v>
          </cell>
          <cell r="AF1721">
            <v>0</v>
          </cell>
          <cell r="AM1721">
            <v>0.65</v>
          </cell>
          <cell r="AV1721">
            <v>1</v>
          </cell>
          <cell r="BB1721">
            <v>1</v>
          </cell>
          <cell r="BZ1721">
            <v>0</v>
          </cell>
          <cell r="CA1721">
            <v>0</v>
          </cell>
          <cell r="CS1721">
            <v>0</v>
          </cell>
          <cell r="DE1721" t="str">
            <v>*4*164</v>
          </cell>
        </row>
        <row r="1722">
          <cell r="F1722" t="str">
            <v>калькуляция</v>
          </cell>
          <cell r="G1722" t="str">
            <v>Подметание дорожек  вручную ( S=4987,1 м2*0,3=1496,13 м2)</v>
          </cell>
          <cell r="H1722" t="str">
            <v>м2</v>
          </cell>
          <cell r="I1722">
            <v>1496.13</v>
          </cell>
          <cell r="S1722">
            <v>1295528.8899999999</v>
          </cell>
          <cell r="X1722">
            <v>0</v>
          </cell>
          <cell r="Y1722">
            <v>0</v>
          </cell>
          <cell r="AE1722">
            <v>0</v>
          </cell>
          <cell r="AF1722">
            <v>865.92</v>
          </cell>
          <cell r="AO1722">
            <v>1.32</v>
          </cell>
          <cell r="AV1722">
            <v>1</v>
          </cell>
          <cell r="BA1722">
            <v>1</v>
          </cell>
          <cell r="BZ1722">
            <v>0</v>
          </cell>
          <cell r="CA1722">
            <v>0</v>
          </cell>
          <cell r="CS1722">
            <v>0</v>
          </cell>
          <cell r="DG1722" t="str">
            <v>*4*164</v>
          </cell>
        </row>
        <row r="1723">
          <cell r="F1723" t="str">
            <v>калькуляция</v>
          </cell>
          <cell r="G1723" t="str">
            <v>Мытье дорожек  механизированным способом( 30% от 4987,1 м2)</v>
          </cell>
          <cell r="H1723" t="str">
            <v>м2</v>
          </cell>
          <cell r="I1723">
            <v>1496.13</v>
          </cell>
          <cell r="Q1723">
            <v>804798.25</v>
          </cell>
          <cell r="X1723">
            <v>0</v>
          </cell>
          <cell r="Y1723">
            <v>0</v>
          </cell>
          <cell r="AE1723">
            <v>0</v>
          </cell>
          <cell r="AF1723">
            <v>0</v>
          </cell>
          <cell r="AM1723">
            <v>3.28</v>
          </cell>
          <cell r="AV1723">
            <v>1</v>
          </cell>
          <cell r="BB1723">
            <v>1</v>
          </cell>
          <cell r="BZ1723">
            <v>0</v>
          </cell>
          <cell r="CA1723">
            <v>0</v>
          </cell>
          <cell r="CS1723">
            <v>0</v>
          </cell>
          <cell r="DE1723" t="str">
            <v>*1*164</v>
          </cell>
        </row>
        <row r="1724">
          <cell r="F1724" t="str">
            <v>цена поставщика</v>
          </cell>
          <cell r="G1724" t="str">
            <v>Средство для механизированной мойки дорожных покрытий в зимнее время -ПГМ Жидкий хлористый кальций</v>
          </cell>
          <cell r="H1724" t="str">
            <v>л</v>
          </cell>
          <cell r="I1724">
            <v>73.609595999999996</v>
          </cell>
          <cell r="O1724">
            <v>866.38</v>
          </cell>
          <cell r="X1724">
            <v>0</v>
          </cell>
          <cell r="Y1724">
            <v>0</v>
          </cell>
          <cell r="AE1724">
            <v>0</v>
          </cell>
          <cell r="AF1724">
            <v>0</v>
          </cell>
          <cell r="AK1724">
            <v>11.77</v>
          </cell>
          <cell r="AV1724">
            <v>1</v>
          </cell>
          <cell r="AW1724">
            <v>1</v>
          </cell>
          <cell r="BC1724">
            <v>1</v>
          </cell>
          <cell r="BZ1724">
            <v>0</v>
          </cell>
          <cell r="CA1724">
            <v>0</v>
          </cell>
          <cell r="CS1724">
            <v>0</v>
          </cell>
        </row>
        <row r="1725">
          <cell r="F1725" t="str">
            <v>5.3-1102-12-1/1</v>
          </cell>
          <cell r="G1725" t="str">
            <v>Уборка снега средствами малой механизации ( 4987,1м2 *0,7 = 3490,97 м2)</v>
          </cell>
          <cell r="H1725" t="str">
            <v>1000 м2</v>
          </cell>
          <cell r="I1725">
            <v>3.4909699999999999</v>
          </cell>
          <cell r="Q1725">
            <v>1661482.77</v>
          </cell>
          <cell r="R1725">
            <v>553593</v>
          </cell>
          <cell r="X1725">
            <v>0</v>
          </cell>
          <cell r="Y1725">
            <v>0</v>
          </cell>
          <cell r="AE1725">
            <v>158578.56</v>
          </cell>
          <cell r="AF1725">
            <v>0</v>
          </cell>
          <cell r="AM1725">
            <v>708.24</v>
          </cell>
          <cell r="AN1725">
            <v>235.98</v>
          </cell>
          <cell r="AV1725">
            <v>1</v>
          </cell>
          <cell r="BB1725">
            <v>1</v>
          </cell>
          <cell r="BS1725">
            <v>1</v>
          </cell>
          <cell r="BZ1725">
            <v>70</v>
          </cell>
          <cell r="CA1725">
            <v>10</v>
          </cell>
          <cell r="CS1725">
            <v>158578.56</v>
          </cell>
          <cell r="DE1725" t="str">
            <v>*4*168</v>
          </cell>
          <cell r="DF1725" t="str">
            <v>*4*168</v>
          </cell>
        </row>
        <row r="1726">
          <cell r="F1726" t="str">
            <v>5.3-1102-8-1/1</v>
          </cell>
          <cell r="G1726" t="str">
            <v>Уборка свежевыпавшего снега вручную толщиной слоя до 10 см ( 4987,1 м2 * 0,1*0,7*0,5 = 174,55 м2 )</v>
          </cell>
          <cell r="H1726" t="str">
            <v>100 м2</v>
          </cell>
          <cell r="I1726">
            <v>1.7455000000000001</v>
          </cell>
          <cell r="S1726">
            <v>189025.08</v>
          </cell>
          <cell r="U1726">
            <v>762.4344000000001</v>
          </cell>
          <cell r="X1726">
            <v>132317.56</v>
          </cell>
          <cell r="Y1726">
            <v>18902.509999999998</v>
          </cell>
          <cell r="AE1726">
            <v>0</v>
          </cell>
          <cell r="AF1726">
            <v>108292.8</v>
          </cell>
          <cell r="AO1726">
            <v>161.15</v>
          </cell>
          <cell r="AQ1726">
            <v>0.65</v>
          </cell>
          <cell r="AT1726">
            <v>70</v>
          </cell>
          <cell r="AU1726">
            <v>10</v>
          </cell>
          <cell r="AV1726">
            <v>1</v>
          </cell>
          <cell r="BA1726">
            <v>1</v>
          </cell>
          <cell r="BZ1726">
            <v>70</v>
          </cell>
          <cell r="CA1726">
            <v>10</v>
          </cell>
          <cell r="CS1726">
            <v>0</v>
          </cell>
          <cell r="DG1726" t="str">
            <v>*4*168</v>
          </cell>
          <cell r="DI1726" t="str">
            <v>*4*168</v>
          </cell>
        </row>
        <row r="1727">
          <cell r="F1727" t="str">
            <v>5.3-1102-8-3/1</v>
          </cell>
          <cell r="G1727" t="str">
            <v>Уборка слежавшегося снега вручную(S=4987.1 м2*0,1*0,7*0,5= 174,55м2)</v>
          </cell>
          <cell r="H1727" t="str">
            <v>100 м2</v>
          </cell>
          <cell r="I1727">
            <v>1.7455000000000001</v>
          </cell>
          <cell r="S1727">
            <v>111236.25</v>
          </cell>
          <cell r="U1727">
            <v>448.66332000000006</v>
          </cell>
          <cell r="X1727">
            <v>77865.38</v>
          </cell>
          <cell r="Y1727">
            <v>11123.63</v>
          </cell>
          <cell r="AE1727">
            <v>0</v>
          </cell>
          <cell r="AF1727">
            <v>63727.44</v>
          </cell>
          <cell r="AO1727">
            <v>379.33</v>
          </cell>
          <cell r="AQ1727">
            <v>1.53</v>
          </cell>
          <cell r="AT1727">
            <v>70</v>
          </cell>
          <cell r="AU1727">
            <v>10</v>
          </cell>
          <cell r="AV1727">
            <v>1</v>
          </cell>
          <cell r="BA1727">
            <v>1</v>
          </cell>
          <cell r="BZ1727">
            <v>70</v>
          </cell>
          <cell r="CA1727">
            <v>10</v>
          </cell>
          <cell r="CS1727">
            <v>0</v>
          </cell>
          <cell r="DG1727" t="str">
            <v>)*1*168</v>
          </cell>
          <cell r="DI1727" t="str">
            <v>)*1*168</v>
          </cell>
        </row>
        <row r="1728">
          <cell r="F1728" t="str">
            <v>5.3-1102-8-1/1</v>
          </cell>
          <cell r="G1728" t="str">
            <v>Уборка свежевыпавшего снега вручную толщиной слоя до 10 см ( 4987,1 м2 * 0,1*0,3*0,5 = 74,81 м2 )</v>
          </cell>
          <cell r="H1728" t="str">
            <v>100 м2</v>
          </cell>
          <cell r="I1728">
            <v>0.74809999999999999</v>
          </cell>
          <cell r="S1728">
            <v>81013.84</v>
          </cell>
          <cell r="U1728">
            <v>326.77008000000001</v>
          </cell>
          <cell r="X1728">
            <v>56709.69</v>
          </cell>
          <cell r="Y1728">
            <v>8101.38</v>
          </cell>
          <cell r="AE1728">
            <v>0</v>
          </cell>
          <cell r="AF1728">
            <v>108292.8</v>
          </cell>
          <cell r="AO1728">
            <v>161.15</v>
          </cell>
          <cell r="AQ1728">
            <v>0.65</v>
          </cell>
          <cell r="AT1728">
            <v>70</v>
          </cell>
          <cell r="AU1728">
            <v>10</v>
          </cell>
          <cell r="AV1728">
            <v>1</v>
          </cell>
          <cell r="BA1728">
            <v>1</v>
          </cell>
          <cell r="BZ1728">
            <v>70</v>
          </cell>
          <cell r="CA1728">
            <v>10</v>
          </cell>
          <cell r="CS1728">
            <v>0</v>
          </cell>
          <cell r="DG1728" t="str">
            <v>*4*168</v>
          </cell>
          <cell r="DI1728" t="str">
            <v>*4*168</v>
          </cell>
        </row>
        <row r="1729">
          <cell r="F1729" t="str">
            <v>5.3-1102-8-2/1</v>
          </cell>
          <cell r="G1729" t="str">
            <v>Уборка свежевыпавшего снега вручную, добавлять на каждые следующие 10 см увеличения толщины слоя</v>
          </cell>
          <cell r="H1729" t="str">
            <v>100 м2</v>
          </cell>
          <cell r="I1729">
            <v>0.74809999999999999</v>
          </cell>
          <cell r="S1729">
            <v>58582.33</v>
          </cell>
          <cell r="U1729">
            <v>236.27990399999999</v>
          </cell>
          <cell r="X1729">
            <v>41007.629999999997</v>
          </cell>
          <cell r="Y1729">
            <v>5858.23</v>
          </cell>
          <cell r="AE1729">
            <v>0</v>
          </cell>
          <cell r="AF1729">
            <v>78308.160000000003</v>
          </cell>
          <cell r="AO1729">
            <v>116.53</v>
          </cell>
          <cell r="AQ1729">
            <v>0.47</v>
          </cell>
          <cell r="AT1729">
            <v>70</v>
          </cell>
          <cell r="AU1729">
            <v>10</v>
          </cell>
          <cell r="AV1729">
            <v>1</v>
          </cell>
          <cell r="BA1729">
            <v>1</v>
          </cell>
          <cell r="BZ1729">
            <v>70</v>
          </cell>
          <cell r="CA1729">
            <v>10</v>
          </cell>
          <cell r="CS1729">
            <v>0</v>
          </cell>
          <cell r="DG1729" t="str">
            <v>*4*168</v>
          </cell>
          <cell r="DI1729" t="str">
            <v>*4*168</v>
          </cell>
        </row>
        <row r="1730">
          <cell r="F1730" t="str">
            <v>5.3-1102-24-1/1</v>
          </cell>
          <cell r="G1730" t="str">
            <v>Уборка свежевыпавшего снега ручной самоходной машиной - ширина захвата 120 см ( S=4987.1м2*0,2=997,42 м2)</v>
          </cell>
          <cell r="H1730" t="str">
            <v>100 м2</v>
          </cell>
          <cell r="I1730">
            <v>9.9741999999999997</v>
          </cell>
          <cell r="Q1730">
            <v>227689.44</v>
          </cell>
          <cell r="R1730">
            <v>603.24</v>
          </cell>
          <cell r="S1730">
            <v>650560.41</v>
          </cell>
          <cell r="U1730">
            <v>2345.9318399999997</v>
          </cell>
          <cell r="X1730">
            <v>455392.29</v>
          </cell>
          <cell r="Y1730">
            <v>65056.04</v>
          </cell>
          <cell r="AE1730">
            <v>60.48</v>
          </cell>
          <cell r="AF1730">
            <v>65224.32</v>
          </cell>
          <cell r="AM1730">
            <v>33.97</v>
          </cell>
          <cell r="AN1730">
            <v>0.09</v>
          </cell>
          <cell r="AO1730">
            <v>97.06</v>
          </cell>
          <cell r="AQ1730">
            <v>0.35</v>
          </cell>
          <cell r="AT1730">
            <v>70</v>
          </cell>
          <cell r="AU1730">
            <v>10</v>
          </cell>
          <cell r="AV1730">
            <v>1</v>
          </cell>
          <cell r="BA1730">
            <v>1</v>
          </cell>
          <cell r="BB1730">
            <v>1</v>
          </cell>
          <cell r="BS1730">
            <v>1</v>
          </cell>
          <cell r="BZ1730">
            <v>70</v>
          </cell>
          <cell r="CA1730">
            <v>10</v>
          </cell>
          <cell r="CS1730">
            <v>60.48</v>
          </cell>
          <cell r="DE1730" t="str">
            <v>*4*168</v>
          </cell>
          <cell r="DF1730" t="str">
            <v>*4*168</v>
          </cell>
          <cell r="DG1730" t="str">
            <v>*4*168</v>
          </cell>
          <cell r="DI1730" t="str">
            <v>*4*168</v>
          </cell>
        </row>
        <row r="1731">
          <cell r="F1731" t="str">
            <v>5.3-1102-9-1/1</v>
          </cell>
          <cell r="G1731" t="str">
            <v>Колка льда на обледеневших покрытиях вручную ( S=4987,1м2*0,1*0,3*0,5= 74,81 м2)</v>
          </cell>
          <cell r="H1731" t="str">
            <v>100 м2</v>
          </cell>
          <cell r="I1731">
            <v>0.74809999999999999</v>
          </cell>
          <cell r="S1731">
            <v>150191.07</v>
          </cell>
          <cell r="U1731">
            <v>605.78145599999993</v>
          </cell>
          <cell r="X1731">
            <v>105133.75</v>
          </cell>
          <cell r="Y1731">
            <v>15019.11</v>
          </cell>
          <cell r="AE1731">
            <v>0</v>
          </cell>
          <cell r="AF1731">
            <v>200763.36</v>
          </cell>
          <cell r="AO1731">
            <v>597.51</v>
          </cell>
          <cell r="AQ1731">
            <v>2.41</v>
          </cell>
          <cell r="AT1731">
            <v>70</v>
          </cell>
          <cell r="AU1731">
            <v>10</v>
          </cell>
          <cell r="AV1731">
            <v>1</v>
          </cell>
          <cell r="BA1731">
            <v>1</v>
          </cell>
          <cell r="BZ1731">
            <v>70</v>
          </cell>
          <cell r="CA1731">
            <v>10</v>
          </cell>
          <cell r="CS1731">
            <v>0</v>
          </cell>
          <cell r="DG1731" t="str">
            <v>)*2*168</v>
          </cell>
          <cell r="DI1731" t="str">
            <v>)*2*168</v>
          </cell>
        </row>
        <row r="1732">
          <cell r="F1732" t="str">
            <v>калькуляция</v>
          </cell>
          <cell r="G1732" t="str">
            <v>Посыпка  гранитной крошкой дорожных покрытий средствами малой механизации( расход крошки 100 г/м2)</v>
          </cell>
          <cell r="H1732" t="str">
            <v>м2</v>
          </cell>
          <cell r="I1732">
            <v>3490.97</v>
          </cell>
          <cell r="Q1732">
            <v>774157.51</v>
          </cell>
          <cell r="X1732">
            <v>0</v>
          </cell>
          <cell r="Y1732">
            <v>0</v>
          </cell>
          <cell r="AE1732">
            <v>0</v>
          </cell>
          <cell r="AF1732">
            <v>0</v>
          </cell>
          <cell r="AM1732">
            <v>0.33</v>
          </cell>
          <cell r="AV1732">
            <v>1</v>
          </cell>
          <cell r="BB1732">
            <v>1</v>
          </cell>
          <cell r="BZ1732">
            <v>0</v>
          </cell>
          <cell r="CA1732">
            <v>0</v>
          </cell>
          <cell r="CS1732">
            <v>0</v>
          </cell>
          <cell r="DE1732" t="str">
            <v>*4*168</v>
          </cell>
        </row>
        <row r="1733">
          <cell r="F1733" t="str">
            <v>цена поставщика</v>
          </cell>
          <cell r="G1733" t="str">
            <v>Крошка гранитная</v>
          </cell>
          <cell r="H1733" t="str">
            <v>кг</v>
          </cell>
          <cell r="I1733">
            <v>234593.18400000001</v>
          </cell>
          <cell r="O1733">
            <v>1039247.81</v>
          </cell>
          <cell r="X1733">
            <v>0</v>
          </cell>
          <cell r="Y1733">
            <v>0</v>
          </cell>
          <cell r="AE1733">
            <v>0</v>
          </cell>
          <cell r="AF1733">
            <v>0</v>
          </cell>
          <cell r="AK1733">
            <v>4.43</v>
          </cell>
          <cell r="AV1733">
            <v>1</v>
          </cell>
          <cell r="AW1733">
            <v>1</v>
          </cell>
          <cell r="BC1733">
            <v>1</v>
          </cell>
          <cell r="BZ1733">
            <v>0</v>
          </cell>
          <cell r="CA1733">
            <v>0</v>
          </cell>
          <cell r="CS1733">
            <v>0</v>
          </cell>
        </row>
        <row r="1734">
          <cell r="F1734" t="str">
            <v>калькуляция</v>
          </cell>
          <cell r="G1734" t="str">
            <v>Посыпка гранитной крошкой  дорожных покрытий вручную( 100г/м2 )</v>
          </cell>
          <cell r="H1734" t="str">
            <v>м2</v>
          </cell>
          <cell r="I1734">
            <v>1496.13</v>
          </cell>
          <cell r="S1734">
            <v>2091230.67</v>
          </cell>
          <cell r="X1734">
            <v>0</v>
          </cell>
          <cell r="Y1734">
            <v>0</v>
          </cell>
          <cell r="AE1734">
            <v>0</v>
          </cell>
          <cell r="AF1734">
            <v>1397.76</v>
          </cell>
          <cell r="AO1734">
            <v>2.08</v>
          </cell>
          <cell r="AV1734">
            <v>1</v>
          </cell>
          <cell r="BA1734">
            <v>1</v>
          </cell>
          <cell r="BZ1734">
            <v>0</v>
          </cell>
          <cell r="CA1734">
            <v>0</v>
          </cell>
          <cell r="CS1734">
            <v>0</v>
          </cell>
          <cell r="DG1734" t="str">
            <v>*4*168</v>
          </cell>
        </row>
        <row r="1735">
          <cell r="F1735" t="str">
            <v>цена поставщика</v>
          </cell>
          <cell r="G1735" t="str">
            <v>Крошка гранитная</v>
          </cell>
          <cell r="H1735" t="str">
            <v>кг</v>
          </cell>
          <cell r="I1735">
            <v>100539.93600000002</v>
          </cell>
          <cell r="O1735">
            <v>445391.92</v>
          </cell>
          <cell r="X1735">
            <v>0</v>
          </cell>
          <cell r="Y1735">
            <v>0</v>
          </cell>
          <cell r="AE1735">
            <v>0</v>
          </cell>
          <cell r="AF1735">
            <v>0</v>
          </cell>
          <cell r="AK1735">
            <v>4.43</v>
          </cell>
          <cell r="AV1735">
            <v>1</v>
          </cell>
          <cell r="AW1735">
            <v>1</v>
          </cell>
          <cell r="BC1735">
            <v>1</v>
          </cell>
          <cell r="BZ1735">
            <v>0</v>
          </cell>
          <cell r="CA1735">
            <v>0</v>
          </cell>
          <cell r="CS1735">
            <v>0</v>
          </cell>
        </row>
        <row r="1736">
          <cell r="F1736" t="str">
            <v>5.4-1201-1-1/1</v>
          </cell>
          <cell r="G1736" t="str">
            <v>Сбор случайного мусора по территории</v>
          </cell>
          <cell r="H1736" t="str">
            <v>100 м2</v>
          </cell>
          <cell r="I1736">
            <v>49.871000000000002</v>
          </cell>
          <cell r="P1736">
            <v>45697.79</v>
          </cell>
          <cell r="S1736">
            <v>821235.73</v>
          </cell>
          <cell r="U1736">
            <v>3311.4344000000006</v>
          </cell>
          <cell r="X1736">
            <v>574865.01</v>
          </cell>
          <cell r="Y1736">
            <v>82123.570000000007</v>
          </cell>
          <cell r="AE1736">
            <v>0</v>
          </cell>
          <cell r="AF1736">
            <v>16467.2</v>
          </cell>
          <cell r="AL1736">
            <v>0.69</v>
          </cell>
          <cell r="AO1736">
            <v>12.4</v>
          </cell>
          <cell r="AQ1736">
            <v>0.05</v>
          </cell>
          <cell r="AT1736">
            <v>70</v>
          </cell>
          <cell r="AU1736">
            <v>10</v>
          </cell>
          <cell r="AV1736">
            <v>1</v>
          </cell>
          <cell r="AW1736">
            <v>1</v>
          </cell>
          <cell r="BA1736">
            <v>1</v>
          </cell>
          <cell r="BC1736">
            <v>1</v>
          </cell>
          <cell r="BZ1736">
            <v>70</v>
          </cell>
          <cell r="CA1736">
            <v>10</v>
          </cell>
          <cell r="CS1736">
            <v>0</v>
          </cell>
          <cell r="DD1736" t="str">
            <v>)*4*332</v>
          </cell>
          <cell r="DG1736" t="str">
            <v>)*4*332</v>
          </cell>
          <cell r="DI1736" t="str">
            <v>)*4*332</v>
          </cell>
        </row>
        <row r="1738">
          <cell r="G1738" t="str">
            <v>Содержание покрытий " Патриаршего подворья ".</v>
          </cell>
        </row>
        <row r="1768">
          <cell r="G1768" t="str">
            <v>Уход за скамейками.</v>
          </cell>
        </row>
        <row r="1772">
          <cell r="F1772" t="str">
            <v>калькуляция</v>
          </cell>
          <cell r="G1772" t="str">
            <v>Протирка скамеек</v>
          </cell>
          <cell r="H1772" t="str">
            <v>м2</v>
          </cell>
          <cell r="I1772">
            <v>48</v>
          </cell>
          <cell r="S1772">
            <v>126739.2</v>
          </cell>
          <cell r="X1772">
            <v>0</v>
          </cell>
          <cell r="Y1772">
            <v>0</v>
          </cell>
          <cell r="AE1772">
            <v>0</v>
          </cell>
          <cell r="AF1772">
            <v>2640.4</v>
          </cell>
          <cell r="AO1772">
            <v>8.0500000000000007</v>
          </cell>
          <cell r="AV1772">
            <v>1</v>
          </cell>
          <cell r="BA1772">
            <v>1</v>
          </cell>
          <cell r="BZ1772">
            <v>0</v>
          </cell>
          <cell r="CA1772">
            <v>0</v>
          </cell>
          <cell r="CS1772">
            <v>0</v>
          </cell>
          <cell r="DG1772" t="str">
            <v>)*2*164</v>
          </cell>
        </row>
        <row r="1773">
          <cell r="F1773" t="str">
            <v>цена пставщика</v>
          </cell>
          <cell r="G1773" t="str">
            <v>Средство моющее незамерзающее для протирки Биомол АД-У</v>
          </cell>
          <cell r="H1773" t="str">
            <v>л</v>
          </cell>
          <cell r="I1773">
            <v>3.1488000000000005</v>
          </cell>
          <cell r="O1773">
            <v>745.57</v>
          </cell>
          <cell r="X1773">
            <v>0</v>
          </cell>
          <cell r="Y1773">
            <v>0</v>
          </cell>
          <cell r="AE1773">
            <v>0</v>
          </cell>
          <cell r="AF1773">
            <v>0</v>
          </cell>
          <cell r="AK1773">
            <v>236.78</v>
          </cell>
          <cell r="AV1773">
            <v>1</v>
          </cell>
          <cell r="AW1773">
            <v>1</v>
          </cell>
          <cell r="BC1773">
            <v>1</v>
          </cell>
          <cell r="BZ1773">
            <v>0</v>
          </cell>
          <cell r="CA1773">
            <v>0</v>
          </cell>
          <cell r="CS1773">
            <v>0</v>
          </cell>
        </row>
        <row r="1774">
          <cell r="F1774" t="str">
            <v>5.3-1102-4-1/1</v>
          </cell>
          <cell r="G1774" t="str">
            <v>Очистка скамеек, садовых диванов, урн, цветочниц, боллардов от снега вручную</v>
          </cell>
          <cell r="H1774" t="str">
            <v>100 м2</v>
          </cell>
          <cell r="I1774">
            <v>0.48</v>
          </cell>
          <cell r="S1774">
            <v>56180.28</v>
          </cell>
          <cell r="U1774">
            <v>226.5984</v>
          </cell>
          <cell r="X1774">
            <v>39326.199999999997</v>
          </cell>
          <cell r="Y1774">
            <v>5618.03</v>
          </cell>
          <cell r="AE1774">
            <v>0</v>
          </cell>
          <cell r="AF1774">
            <v>117042.24000000001</v>
          </cell>
          <cell r="AO1774">
            <v>696.68</v>
          </cell>
          <cell r="AQ1774">
            <v>2.81</v>
          </cell>
          <cell r="AT1774">
            <v>70</v>
          </cell>
          <cell r="AU1774">
            <v>10</v>
          </cell>
          <cell r="AV1774">
            <v>1</v>
          </cell>
          <cell r="BA1774">
            <v>1</v>
          </cell>
          <cell r="BZ1774">
            <v>70</v>
          </cell>
          <cell r="CA1774">
            <v>10</v>
          </cell>
          <cell r="CS1774">
            <v>0</v>
          </cell>
          <cell r="DG1774" t="str">
            <v>)*1*168</v>
          </cell>
          <cell r="DI1774" t="str">
            <v>)*1*168</v>
          </cell>
        </row>
        <row r="1776">
          <cell r="G1776" t="str">
            <v>Уход за скамейками.</v>
          </cell>
        </row>
        <row r="1806">
          <cell r="G1806" t="str">
            <v>Содержание лестниц</v>
          </cell>
        </row>
        <row r="1810">
          <cell r="F1810" t="str">
            <v>калькуляция</v>
          </cell>
          <cell r="G1810" t="str">
            <v>Подметание лестницы</v>
          </cell>
          <cell r="H1810" t="str">
            <v>м2</v>
          </cell>
          <cell r="I1810">
            <v>151.4</v>
          </cell>
          <cell r="S1810">
            <v>192677.7</v>
          </cell>
          <cell r="X1810">
            <v>0</v>
          </cell>
          <cell r="Y1810">
            <v>0</v>
          </cell>
          <cell r="AE1810">
            <v>0</v>
          </cell>
          <cell r="AF1810">
            <v>1272.6400000000001</v>
          </cell>
          <cell r="AO1810">
            <v>1.94</v>
          </cell>
          <cell r="AV1810">
            <v>1</v>
          </cell>
          <cell r="BA1810">
            <v>1</v>
          </cell>
          <cell r="BZ1810">
            <v>0</v>
          </cell>
          <cell r="CA1810">
            <v>0</v>
          </cell>
          <cell r="CS1810">
            <v>0</v>
          </cell>
          <cell r="DG1810" t="str">
            <v>)*4*164</v>
          </cell>
        </row>
        <row r="1811">
          <cell r="F1811" t="str">
            <v>5.3-1102-19-1/1</v>
          </cell>
          <cell r="G1811" t="str">
            <v>Уборка лестниц от снега вручную на территории типа ВДНХ - толщиной до 10 см</v>
          </cell>
          <cell r="H1811" t="str">
            <v>100 м2</v>
          </cell>
          <cell r="I1811">
            <v>1.514</v>
          </cell>
          <cell r="S1811">
            <v>156395.96</v>
          </cell>
          <cell r="U1811">
            <v>630.79295999999999</v>
          </cell>
          <cell r="X1811">
            <v>109477.17</v>
          </cell>
          <cell r="Y1811">
            <v>15639.6</v>
          </cell>
          <cell r="AE1811">
            <v>0</v>
          </cell>
          <cell r="AF1811">
            <v>103299.84</v>
          </cell>
          <cell r="AO1811">
            <v>153.72</v>
          </cell>
          <cell r="AQ1811">
            <v>0.62</v>
          </cell>
          <cell r="AT1811">
            <v>70</v>
          </cell>
          <cell r="AU1811">
            <v>10</v>
          </cell>
          <cell r="AV1811">
            <v>1</v>
          </cell>
          <cell r="BA1811">
            <v>1</v>
          </cell>
          <cell r="BZ1811">
            <v>70</v>
          </cell>
          <cell r="CA1811">
            <v>10</v>
          </cell>
          <cell r="CS1811">
            <v>0</v>
          </cell>
          <cell r="DG1811" t="str">
            <v>)*4*168</v>
          </cell>
          <cell r="DI1811" t="str">
            <v>)*4*168</v>
          </cell>
        </row>
        <row r="1812">
          <cell r="F1812" t="str">
            <v>5.3-1102-8-3/1</v>
          </cell>
          <cell r="G1812" t="str">
            <v>Уборка слежавшегося снега вручную( 10% от151,4 м2)</v>
          </cell>
          <cell r="H1812" t="str">
            <v>100 м2</v>
          </cell>
          <cell r="I1812">
            <v>0.15140000000000001</v>
          </cell>
          <cell r="S1812">
            <v>2412.08</v>
          </cell>
          <cell r="U1812">
            <v>9.7289640000000013</v>
          </cell>
          <cell r="X1812">
            <v>1688.46</v>
          </cell>
          <cell r="Y1812">
            <v>241.21</v>
          </cell>
          <cell r="AE1812">
            <v>0</v>
          </cell>
          <cell r="AF1812">
            <v>15931.86</v>
          </cell>
          <cell r="AO1812">
            <v>379.33</v>
          </cell>
          <cell r="AQ1812">
            <v>1.53</v>
          </cell>
          <cell r="AT1812">
            <v>70</v>
          </cell>
          <cell r="AU1812">
            <v>10</v>
          </cell>
          <cell r="AV1812">
            <v>1</v>
          </cell>
          <cell r="BA1812">
            <v>1</v>
          </cell>
          <cell r="BZ1812">
            <v>70</v>
          </cell>
          <cell r="CA1812">
            <v>10</v>
          </cell>
          <cell r="CS1812">
            <v>0</v>
          </cell>
          <cell r="DG1812" t="str">
            <v>)*1*42</v>
          </cell>
          <cell r="DI1812" t="str">
            <v>)*1*42</v>
          </cell>
        </row>
        <row r="1813">
          <cell r="F1813" t="str">
            <v>калькуляция</v>
          </cell>
          <cell r="G1813" t="str">
            <v>Посыпка гранитной крошкой дорожных покрытий вручную( 100г/м2 )</v>
          </cell>
          <cell r="H1813" t="str">
            <v>м2</v>
          </cell>
          <cell r="I1813">
            <v>151.4</v>
          </cell>
          <cell r="S1813">
            <v>211620.86</v>
          </cell>
          <cell r="X1813">
            <v>0</v>
          </cell>
          <cell r="Y1813">
            <v>0</v>
          </cell>
          <cell r="AE1813">
            <v>0</v>
          </cell>
          <cell r="AF1813">
            <v>1397.76</v>
          </cell>
          <cell r="AO1813">
            <v>2.08</v>
          </cell>
          <cell r="AV1813">
            <v>1</v>
          </cell>
          <cell r="BA1813">
            <v>1</v>
          </cell>
          <cell r="BZ1813">
            <v>0</v>
          </cell>
          <cell r="CA1813">
            <v>0</v>
          </cell>
          <cell r="CS1813">
            <v>0</v>
          </cell>
          <cell r="DG1813" t="str">
            <v>)*4*168</v>
          </cell>
        </row>
        <row r="1814">
          <cell r="F1814" t="str">
            <v>цена поставщика</v>
          </cell>
          <cell r="G1814" t="str">
            <v>Крошка гранитная</v>
          </cell>
          <cell r="H1814" t="str">
            <v>кг</v>
          </cell>
          <cell r="I1814">
            <v>10174.08</v>
          </cell>
          <cell r="O1814">
            <v>45071.17</v>
          </cell>
          <cell r="X1814">
            <v>0</v>
          </cell>
          <cell r="Y1814">
            <v>0</v>
          </cell>
          <cell r="AE1814">
            <v>0</v>
          </cell>
          <cell r="AF1814">
            <v>0</v>
          </cell>
          <cell r="AK1814">
            <v>4.43</v>
          </cell>
          <cell r="AV1814">
            <v>1</v>
          </cell>
          <cell r="AW1814">
            <v>1</v>
          </cell>
          <cell r="BC1814">
            <v>1</v>
          </cell>
          <cell r="BZ1814">
            <v>0</v>
          </cell>
          <cell r="CA1814">
            <v>0</v>
          </cell>
          <cell r="CS1814">
            <v>0</v>
          </cell>
        </row>
        <row r="1816">
          <cell r="G1816" t="str">
            <v>Содержание лестниц</v>
          </cell>
        </row>
        <row r="1846">
          <cell r="G1846" t="str">
            <v>Уход за подпорными стенками</v>
          </cell>
        </row>
        <row r="1850">
          <cell r="F1850" t="str">
            <v>калькуляция</v>
          </cell>
          <cell r="G1850" t="str">
            <v>Очистка от снега гранитных подпорных стенок</v>
          </cell>
          <cell r="H1850" t="str">
            <v>м2</v>
          </cell>
          <cell r="I1850">
            <v>942.1</v>
          </cell>
          <cell r="S1850">
            <v>32502.45</v>
          </cell>
          <cell r="X1850">
            <v>0</v>
          </cell>
          <cell r="Y1850">
            <v>0</v>
          </cell>
          <cell r="AE1850">
            <v>0</v>
          </cell>
          <cell r="AF1850">
            <v>34.5</v>
          </cell>
          <cell r="AO1850">
            <v>3.45</v>
          </cell>
          <cell r="AV1850">
            <v>1</v>
          </cell>
          <cell r="BA1850">
            <v>1</v>
          </cell>
          <cell r="BZ1850">
            <v>0</v>
          </cell>
          <cell r="CA1850">
            <v>0</v>
          </cell>
          <cell r="CS1850">
            <v>0</v>
          </cell>
          <cell r="DG1850" t="str">
            <v>)*1*10</v>
          </cell>
        </row>
        <row r="1852">
          <cell r="G1852" t="str">
            <v>Уход за подпорными стенками</v>
          </cell>
        </row>
        <row r="1882">
          <cell r="G1882" t="str">
            <v>Уход за бортовыми камнями</v>
          </cell>
        </row>
        <row r="1886">
          <cell r="F1886" t="str">
            <v>калькуляция</v>
          </cell>
          <cell r="G1886" t="str">
            <v>Уход за бортовыми камнями(  подметание вручную)</v>
          </cell>
          <cell r="H1886" t="str">
            <v>м2</v>
          </cell>
          <cell r="I1886">
            <v>111.72</v>
          </cell>
          <cell r="S1886">
            <v>22719.38</v>
          </cell>
          <cell r="X1886">
            <v>0</v>
          </cell>
          <cell r="Y1886">
            <v>0</v>
          </cell>
          <cell r="AE1886">
            <v>0</v>
          </cell>
          <cell r="AF1886">
            <v>203.36</v>
          </cell>
          <cell r="AO1886">
            <v>1.24</v>
          </cell>
          <cell r="AV1886">
            <v>1</v>
          </cell>
          <cell r="BA1886">
            <v>1</v>
          </cell>
          <cell r="BZ1886">
            <v>0</v>
          </cell>
          <cell r="CA1886">
            <v>0</v>
          </cell>
          <cell r="CS1886">
            <v>0</v>
          </cell>
          <cell r="DG1886" t="str">
            <v>)*1*164</v>
          </cell>
        </row>
        <row r="1887">
          <cell r="F1887" t="str">
            <v>5.3-1102-8-1/1</v>
          </cell>
          <cell r="G1887" t="str">
            <v>Уборка свежевыпавшего снега вручную толщиной слоя до 10 см</v>
          </cell>
          <cell r="H1887" t="str">
            <v>100 м2</v>
          </cell>
          <cell r="I1887">
            <v>1.1172</v>
          </cell>
          <cell r="S1887">
            <v>120984.72</v>
          </cell>
          <cell r="U1887">
            <v>487.99295999999998</v>
          </cell>
          <cell r="X1887">
            <v>84689.3</v>
          </cell>
          <cell r="Y1887">
            <v>12098.47</v>
          </cell>
          <cell r="AE1887">
            <v>0</v>
          </cell>
          <cell r="AF1887">
            <v>108292.8</v>
          </cell>
          <cell r="AO1887">
            <v>161.15</v>
          </cell>
          <cell r="AQ1887">
            <v>0.65</v>
          </cell>
          <cell r="AT1887">
            <v>70</v>
          </cell>
          <cell r="AU1887">
            <v>10</v>
          </cell>
          <cell r="AV1887">
            <v>1</v>
          </cell>
          <cell r="BA1887">
            <v>1</v>
          </cell>
          <cell r="BZ1887">
            <v>70</v>
          </cell>
          <cell r="CA1887">
            <v>10</v>
          </cell>
          <cell r="CS1887">
            <v>0</v>
          </cell>
          <cell r="DG1887" t="str">
            <v>)*4*168</v>
          </cell>
          <cell r="DI1887" t="str">
            <v>)*4*168</v>
          </cell>
        </row>
        <row r="1889">
          <cell r="G1889" t="str">
            <v>Уход за бортовыми камнями</v>
          </cell>
        </row>
        <row r="1919">
          <cell r="G1919" t="str">
            <v>Уход за водоотводными лотками (633,4 п. м)</v>
          </cell>
        </row>
        <row r="1923">
          <cell r="F1923" t="str">
            <v>5.3-1102-26-1/1</v>
          </cell>
          <cell r="G1923" t="str">
            <v>Очистка лотков с решетками от снега, сечение лотка 100 см2, количество креплений решеток 20 шт.(сечение 1320 см2)</v>
          </cell>
          <cell r="H1923" t="str">
            <v>10 м</v>
          </cell>
          <cell r="I1923">
            <v>33.25</v>
          </cell>
          <cell r="S1923">
            <v>136471.29999999999</v>
          </cell>
          <cell r="U1923">
            <v>492.1</v>
          </cell>
          <cell r="X1923">
            <v>95529.91</v>
          </cell>
          <cell r="Y1923">
            <v>13647.13</v>
          </cell>
          <cell r="AE1923">
            <v>0</v>
          </cell>
          <cell r="AF1923">
            <v>4104.3999999999996</v>
          </cell>
          <cell r="AO1923">
            <v>205.22</v>
          </cell>
          <cell r="AQ1923">
            <v>0.74</v>
          </cell>
          <cell r="AT1923">
            <v>70</v>
          </cell>
          <cell r="AU1923">
            <v>10</v>
          </cell>
          <cell r="AV1923">
            <v>1</v>
          </cell>
          <cell r="BA1923">
            <v>1</v>
          </cell>
          <cell r="BZ1923">
            <v>70</v>
          </cell>
          <cell r="CA1923">
            <v>10</v>
          </cell>
          <cell r="CS1923">
            <v>0</v>
          </cell>
          <cell r="DG1923" t="str">
            <v>)*1*20</v>
          </cell>
          <cell r="DI1923" t="str">
            <v>)*1*20</v>
          </cell>
        </row>
        <row r="1924">
          <cell r="F1924" t="str">
            <v>5.3-1102-26-2/1</v>
          </cell>
          <cell r="G1924" t="str">
            <v>Очистка лотков с решетками от снега, добавлять к 3-1102-26-1 на каждые 100 см2 изменения сечения лотка</v>
          </cell>
          <cell r="H1924" t="str">
            <v>10 м</v>
          </cell>
          <cell r="I1924">
            <v>33.25</v>
          </cell>
          <cell r="S1924">
            <v>180027.47</v>
          </cell>
          <cell r="U1924">
            <v>649.04</v>
          </cell>
          <cell r="X1924">
            <v>126019.23</v>
          </cell>
          <cell r="Y1924">
            <v>18002.75</v>
          </cell>
          <cell r="AE1924">
            <v>0</v>
          </cell>
          <cell r="AF1924">
            <v>5414.36</v>
          </cell>
          <cell r="AO1924">
            <v>22.19</v>
          </cell>
          <cell r="AQ1924">
            <v>0.08</v>
          </cell>
          <cell r="AT1924">
            <v>70</v>
          </cell>
          <cell r="AU1924">
            <v>10</v>
          </cell>
          <cell r="AV1924">
            <v>1</v>
          </cell>
          <cell r="BA1924">
            <v>1</v>
          </cell>
          <cell r="BZ1924">
            <v>70</v>
          </cell>
          <cell r="CA1924">
            <v>10</v>
          </cell>
          <cell r="CS1924">
            <v>0</v>
          </cell>
          <cell r="DG1924" t="str">
            <v>)*1*12,2*20</v>
          </cell>
          <cell r="DI1924" t="str">
            <v>)*1*12,2*20</v>
          </cell>
        </row>
        <row r="1925">
          <cell r="F1925" t="str">
            <v>5.3-1102-26-1/1</v>
          </cell>
          <cell r="G1925" t="str">
            <v>Очистка лотков с решетками от снега, сечение лотка 100 см2, количество креплений решеток 20 шт.( сечение 340 см2)</v>
          </cell>
          <cell r="H1925" t="str">
            <v>10 м</v>
          </cell>
          <cell r="I1925">
            <v>29.75</v>
          </cell>
          <cell r="S1925">
            <v>122105.9</v>
          </cell>
          <cell r="U1925">
            <v>440.3</v>
          </cell>
          <cell r="X1925">
            <v>85474.13</v>
          </cell>
          <cell r="Y1925">
            <v>12210.59</v>
          </cell>
          <cell r="AE1925">
            <v>0</v>
          </cell>
          <cell r="AF1925">
            <v>4104.3999999999996</v>
          </cell>
          <cell r="AO1925">
            <v>205.22</v>
          </cell>
          <cell r="AQ1925">
            <v>0.74</v>
          </cell>
          <cell r="AT1925">
            <v>70</v>
          </cell>
          <cell r="AU1925">
            <v>10</v>
          </cell>
          <cell r="AV1925">
            <v>1</v>
          </cell>
          <cell r="BA1925">
            <v>1</v>
          </cell>
          <cell r="BZ1925">
            <v>70</v>
          </cell>
          <cell r="CA1925">
            <v>10</v>
          </cell>
          <cell r="CS1925">
            <v>0</v>
          </cell>
          <cell r="DG1925" t="str">
            <v>)*1*20</v>
          </cell>
          <cell r="DI1925" t="str">
            <v>)*1*20</v>
          </cell>
        </row>
        <row r="1926">
          <cell r="F1926" t="str">
            <v>5.3-1102-26-2/1</v>
          </cell>
          <cell r="G1926" t="str">
            <v>Очистка лотков с решетками от снега, добавлять к 3-1102-26-1 на каждые 100 см2 изменения сечения лотка</v>
          </cell>
          <cell r="H1926" t="str">
            <v>10 м</v>
          </cell>
          <cell r="I1926">
            <v>29.75</v>
          </cell>
          <cell r="S1926">
            <v>31687.32</v>
          </cell>
          <cell r="U1926">
            <v>114.24</v>
          </cell>
          <cell r="X1926">
            <v>22181.119999999999</v>
          </cell>
          <cell r="Y1926">
            <v>3168.73</v>
          </cell>
          <cell r="AE1926">
            <v>0</v>
          </cell>
          <cell r="AF1926">
            <v>1065.1199999999999</v>
          </cell>
          <cell r="AO1926">
            <v>22.19</v>
          </cell>
          <cell r="AQ1926">
            <v>0.08</v>
          </cell>
          <cell r="AT1926">
            <v>70</v>
          </cell>
          <cell r="AU1926">
            <v>10</v>
          </cell>
          <cell r="AV1926">
            <v>1</v>
          </cell>
          <cell r="BA1926">
            <v>1</v>
          </cell>
          <cell r="BZ1926">
            <v>70</v>
          </cell>
          <cell r="CA1926">
            <v>10</v>
          </cell>
          <cell r="CS1926">
            <v>0</v>
          </cell>
          <cell r="DG1926" t="str">
            <v>)*1*2,4*20</v>
          </cell>
          <cell r="DI1926" t="str">
            <v>)*1*2,4*20</v>
          </cell>
        </row>
        <row r="1927">
          <cell r="F1927" t="str">
            <v>5.3-1102-26-1/1</v>
          </cell>
          <cell r="G1927" t="str">
            <v>Очистка лотков с решетками от снега, сечение лотка 100 см2, количество креплений решеток 20 шт.(сечение 120 см2)</v>
          </cell>
          <cell r="H1927" t="str">
            <v>10 м</v>
          </cell>
          <cell r="I1927">
            <v>0.34</v>
          </cell>
          <cell r="S1927">
            <v>1395.5</v>
          </cell>
          <cell r="U1927">
            <v>5.0320000000000009</v>
          </cell>
          <cell r="X1927">
            <v>976.85</v>
          </cell>
          <cell r="Y1927">
            <v>139.55000000000001</v>
          </cell>
          <cell r="AE1927">
            <v>0</v>
          </cell>
          <cell r="AF1927">
            <v>4104.3999999999996</v>
          </cell>
          <cell r="AO1927">
            <v>205.22</v>
          </cell>
          <cell r="AQ1927">
            <v>0.74</v>
          </cell>
          <cell r="AT1927">
            <v>70</v>
          </cell>
          <cell r="AU1927">
            <v>10</v>
          </cell>
          <cell r="AV1927">
            <v>1</v>
          </cell>
          <cell r="BA1927">
            <v>1</v>
          </cell>
          <cell r="BZ1927">
            <v>70</v>
          </cell>
          <cell r="CA1927">
            <v>10</v>
          </cell>
          <cell r="CS1927">
            <v>0</v>
          </cell>
          <cell r="DG1927" t="str">
            <v>)*1*20</v>
          </cell>
          <cell r="DI1927" t="str">
            <v>)*1*20</v>
          </cell>
        </row>
        <row r="1928">
          <cell r="F1928" t="str">
            <v>5.3-1102-26-2/1</v>
          </cell>
          <cell r="G1928" t="str">
            <v>Очистка лотков с решетками от снега, добавлять к 3-1102-26-1 на каждые 100 см2 изменения сечения лотка</v>
          </cell>
          <cell r="H1928" t="str">
            <v>10 м</v>
          </cell>
          <cell r="I1928">
            <v>0.34</v>
          </cell>
          <cell r="S1928">
            <v>30.18</v>
          </cell>
          <cell r="U1928">
            <v>0.10880000000000001</v>
          </cell>
          <cell r="X1928">
            <v>21.13</v>
          </cell>
          <cell r="Y1928">
            <v>3.02</v>
          </cell>
          <cell r="AE1928">
            <v>0</v>
          </cell>
          <cell r="AF1928">
            <v>88.76</v>
          </cell>
          <cell r="AO1928">
            <v>22.19</v>
          </cell>
          <cell r="AQ1928">
            <v>0.08</v>
          </cell>
          <cell r="AT1928">
            <v>70</v>
          </cell>
          <cell r="AU1928">
            <v>10</v>
          </cell>
          <cell r="AV1928">
            <v>1</v>
          </cell>
          <cell r="BA1928">
            <v>1</v>
          </cell>
          <cell r="BZ1928">
            <v>70</v>
          </cell>
          <cell r="CA1928">
            <v>10</v>
          </cell>
          <cell r="CS1928">
            <v>0</v>
          </cell>
          <cell r="DG1928" t="str">
            <v>)*1*0,2*20</v>
          </cell>
          <cell r="DI1928" t="str">
            <v>)*1*0,2*20</v>
          </cell>
        </row>
        <row r="1929">
          <cell r="F1929" t="str">
            <v>5.3-1102-26-3/1</v>
          </cell>
          <cell r="G1929" t="str">
            <v>Очистка лотков с решетками от снега, добавлять к 3-1102-26-1 на каждые 10 креплений решеток</v>
          </cell>
          <cell r="H1929" t="str">
            <v>10 шт.</v>
          </cell>
          <cell r="I1929">
            <v>33.200000000000003</v>
          </cell>
          <cell r="S1929">
            <v>31300.959999999999</v>
          </cell>
          <cell r="U1929">
            <v>112.88000000000002</v>
          </cell>
          <cell r="X1929">
            <v>21910.67</v>
          </cell>
          <cell r="Y1929">
            <v>3130.1</v>
          </cell>
          <cell r="AE1929">
            <v>0</v>
          </cell>
          <cell r="AF1929">
            <v>942.8</v>
          </cell>
          <cell r="AO1929">
            <v>47.14</v>
          </cell>
          <cell r="AQ1929">
            <v>0.17</v>
          </cell>
          <cell r="AT1929">
            <v>70</v>
          </cell>
          <cell r="AU1929">
            <v>10</v>
          </cell>
          <cell r="AV1929">
            <v>1</v>
          </cell>
          <cell r="BA1929">
            <v>1</v>
          </cell>
          <cell r="BZ1929">
            <v>70</v>
          </cell>
          <cell r="CA1929">
            <v>10</v>
          </cell>
          <cell r="CS1929">
            <v>0</v>
          </cell>
          <cell r="DG1929" t="str">
            <v>)*1*20</v>
          </cell>
          <cell r="DI1929" t="str">
            <v>)*1*20</v>
          </cell>
        </row>
        <row r="1930">
          <cell r="F1930" t="str">
            <v>5.3-1102-27-1/1</v>
          </cell>
          <cell r="G1930" t="str">
            <v>Очистка лотков с решетками от наледи, сечение лотка 100 см2, количество креплений решеток 20 шт.( сечение 1320 см2)</v>
          </cell>
          <cell r="H1930" t="str">
            <v>10 м</v>
          </cell>
          <cell r="I1930">
            <v>33.25</v>
          </cell>
          <cell r="S1930">
            <v>309823.5</v>
          </cell>
          <cell r="U1930">
            <v>1117.2</v>
          </cell>
          <cell r="X1930">
            <v>216876.45</v>
          </cell>
          <cell r="Y1930">
            <v>30982.35</v>
          </cell>
          <cell r="AE1930">
            <v>0</v>
          </cell>
          <cell r="AF1930">
            <v>9318</v>
          </cell>
          <cell r="AO1930">
            <v>931.8</v>
          </cell>
          <cell r="AQ1930">
            <v>3.36</v>
          </cell>
          <cell r="AT1930">
            <v>70</v>
          </cell>
          <cell r="AU1930">
            <v>10</v>
          </cell>
          <cell r="AV1930">
            <v>1</v>
          </cell>
          <cell r="BA1930">
            <v>1</v>
          </cell>
          <cell r="BZ1930">
            <v>70</v>
          </cell>
          <cell r="CA1930">
            <v>10</v>
          </cell>
          <cell r="CS1930">
            <v>0</v>
          </cell>
          <cell r="DG1930" t="str">
            <v>)*1*10</v>
          </cell>
          <cell r="DI1930" t="str">
            <v>)*1*10</v>
          </cell>
        </row>
        <row r="1931">
          <cell r="F1931" t="str">
            <v>5.3-1102-27-2/1</v>
          </cell>
          <cell r="G1931" t="str">
            <v>Очистка лотков с решетками от наледи, добавлять к 3-1102-27-1 на каждые 100 см2 изменения сечения лотка</v>
          </cell>
          <cell r="H1931" t="str">
            <v>10 м</v>
          </cell>
          <cell r="I1931">
            <v>33.25</v>
          </cell>
          <cell r="S1931">
            <v>1484922.39</v>
          </cell>
          <cell r="U1931">
            <v>5354.58</v>
          </cell>
          <cell r="X1931">
            <v>1039445.67</v>
          </cell>
          <cell r="Y1931">
            <v>148492.24</v>
          </cell>
          <cell r="AE1931">
            <v>0</v>
          </cell>
          <cell r="AF1931">
            <v>44659.32</v>
          </cell>
          <cell r="AO1931">
            <v>366.06</v>
          </cell>
          <cell r="AQ1931">
            <v>1.32</v>
          </cell>
          <cell r="AT1931">
            <v>70</v>
          </cell>
          <cell r="AU1931">
            <v>10</v>
          </cell>
          <cell r="AV1931">
            <v>1</v>
          </cell>
          <cell r="BA1931">
            <v>1</v>
          </cell>
          <cell r="BZ1931">
            <v>70</v>
          </cell>
          <cell r="CA1931">
            <v>10</v>
          </cell>
          <cell r="CS1931">
            <v>0</v>
          </cell>
          <cell r="DG1931" t="str">
            <v>)*1*12,2*10</v>
          </cell>
          <cell r="DI1931" t="str">
            <v>)*1*12,2*10</v>
          </cell>
        </row>
        <row r="1932">
          <cell r="F1932" t="str">
            <v>5.3-1102-27-1/1</v>
          </cell>
          <cell r="G1932" t="str">
            <v>Очистка лотков с решетками от наледи, сечение лотка 100 см2, количество креплений решеток 20 шт.(сечение 340 см2)</v>
          </cell>
          <cell r="H1932" t="str">
            <v>10 м</v>
          </cell>
          <cell r="I1932">
            <v>29.75</v>
          </cell>
          <cell r="S1932">
            <v>277210.5</v>
          </cell>
          <cell r="U1932">
            <v>999.6</v>
          </cell>
          <cell r="X1932">
            <v>194047.35</v>
          </cell>
          <cell r="Y1932">
            <v>27721.05</v>
          </cell>
          <cell r="AE1932">
            <v>0</v>
          </cell>
          <cell r="AF1932">
            <v>9318</v>
          </cell>
          <cell r="AO1932">
            <v>931.8</v>
          </cell>
          <cell r="AQ1932">
            <v>3.36</v>
          </cell>
          <cell r="AT1932">
            <v>70</v>
          </cell>
          <cell r="AU1932">
            <v>10</v>
          </cell>
          <cell r="AV1932">
            <v>1</v>
          </cell>
          <cell r="BA1932">
            <v>1</v>
          </cell>
          <cell r="BZ1932">
            <v>70</v>
          </cell>
          <cell r="CA1932">
            <v>10</v>
          </cell>
          <cell r="CS1932">
            <v>0</v>
          </cell>
          <cell r="DG1932" t="str">
            <v>)*1*10</v>
          </cell>
          <cell r="DI1932" t="str">
            <v>)*1*10</v>
          </cell>
        </row>
        <row r="1933">
          <cell r="F1933" t="str">
            <v>5.3-1102-27-2/1</v>
          </cell>
          <cell r="G1933" t="str">
            <v>Очистка лотков с решетками от наледи, добавлять к 3-1102-27-1 на каждые 100 см2 изменения сечения лотка</v>
          </cell>
          <cell r="H1933" t="str">
            <v>10 м</v>
          </cell>
          <cell r="I1933">
            <v>29.75</v>
          </cell>
          <cell r="S1933">
            <v>261366.84</v>
          </cell>
          <cell r="U1933">
            <v>942.48</v>
          </cell>
          <cell r="X1933">
            <v>182956.79</v>
          </cell>
          <cell r="Y1933">
            <v>26136.68</v>
          </cell>
          <cell r="AE1933">
            <v>0</v>
          </cell>
          <cell r="AF1933">
            <v>8785.44</v>
          </cell>
          <cell r="AO1933">
            <v>366.06</v>
          </cell>
          <cell r="AQ1933">
            <v>1.32</v>
          </cell>
          <cell r="AT1933">
            <v>70</v>
          </cell>
          <cell r="AU1933">
            <v>10</v>
          </cell>
          <cell r="AV1933">
            <v>1</v>
          </cell>
          <cell r="BA1933">
            <v>1</v>
          </cell>
          <cell r="BZ1933">
            <v>70</v>
          </cell>
          <cell r="CA1933">
            <v>10</v>
          </cell>
          <cell r="CS1933">
            <v>0</v>
          </cell>
          <cell r="DG1933" t="str">
            <v>)*1*2,4*10</v>
          </cell>
          <cell r="DI1933" t="str">
            <v>)*1*2,4*10</v>
          </cell>
        </row>
        <row r="1934">
          <cell r="F1934" t="str">
            <v>5.3-1102-27-1/1</v>
          </cell>
          <cell r="G1934" t="str">
            <v>Очистка лотков с решетками от наледи, сечение лотка 100 см2, количество креплений решеток 20 шт.(сечение 120 см2)</v>
          </cell>
          <cell r="H1934" t="str">
            <v>10 м</v>
          </cell>
          <cell r="I1934">
            <v>0.34</v>
          </cell>
          <cell r="S1934">
            <v>3168.12</v>
          </cell>
          <cell r="U1934">
            <v>11.424000000000001</v>
          </cell>
          <cell r="X1934">
            <v>2217.6799999999998</v>
          </cell>
          <cell r="Y1934">
            <v>316.81</v>
          </cell>
          <cell r="AE1934">
            <v>0</v>
          </cell>
          <cell r="AF1934">
            <v>9318</v>
          </cell>
          <cell r="AO1934">
            <v>931.8</v>
          </cell>
          <cell r="AQ1934">
            <v>3.36</v>
          </cell>
          <cell r="AT1934">
            <v>70</v>
          </cell>
          <cell r="AU1934">
            <v>10</v>
          </cell>
          <cell r="AV1934">
            <v>1</v>
          </cell>
          <cell r="BA1934">
            <v>1</v>
          </cell>
          <cell r="BZ1934">
            <v>70</v>
          </cell>
          <cell r="CA1934">
            <v>10</v>
          </cell>
          <cell r="CS1934">
            <v>0</v>
          </cell>
          <cell r="DG1934" t="str">
            <v>)*1*10</v>
          </cell>
          <cell r="DI1934" t="str">
            <v>)*1*10</v>
          </cell>
        </row>
        <row r="1935">
          <cell r="F1935" t="str">
            <v>5.3-1102-27-2/1</v>
          </cell>
          <cell r="G1935" t="str">
            <v>Очистка лотков с решетками от наледи, добавлять к 3-1102-27-1 на каждые 100 см2 изменения сечения лотка</v>
          </cell>
          <cell r="H1935" t="str">
            <v>10 м</v>
          </cell>
          <cell r="I1935">
            <v>0.34</v>
          </cell>
          <cell r="S1935">
            <v>248.92</v>
          </cell>
          <cell r="U1935">
            <v>0.89760000000000006</v>
          </cell>
          <cell r="X1935">
            <v>174.24</v>
          </cell>
          <cell r="Y1935">
            <v>24.89</v>
          </cell>
          <cell r="AE1935">
            <v>0</v>
          </cell>
          <cell r="AF1935">
            <v>732.12</v>
          </cell>
          <cell r="AO1935">
            <v>366.06</v>
          </cell>
          <cell r="AQ1935">
            <v>1.32</v>
          </cell>
          <cell r="AT1935">
            <v>70</v>
          </cell>
          <cell r="AU1935">
            <v>10</v>
          </cell>
          <cell r="AV1935">
            <v>1</v>
          </cell>
          <cell r="BA1935">
            <v>1</v>
          </cell>
          <cell r="BZ1935">
            <v>70</v>
          </cell>
          <cell r="CA1935">
            <v>10</v>
          </cell>
          <cell r="CS1935">
            <v>0</v>
          </cell>
          <cell r="DG1935" t="str">
            <v>)*1*0,2*10</v>
          </cell>
          <cell r="DI1935" t="str">
            <v>)*1*0,2*10</v>
          </cell>
        </row>
        <row r="1936">
          <cell r="F1936" t="str">
            <v>5.3-1102-27-3/1</v>
          </cell>
          <cell r="G1936" t="str">
            <v>Очистка лотков с решетками от наледи, добавлять к 3-1102-27-1 на каждые 10 креплений решеток</v>
          </cell>
          <cell r="H1936" t="str">
            <v>10 шт.</v>
          </cell>
          <cell r="I1936">
            <v>33.200000000000003</v>
          </cell>
          <cell r="S1936">
            <v>33146.879999999997</v>
          </cell>
          <cell r="U1936">
            <v>119.52</v>
          </cell>
          <cell r="X1936">
            <v>23202.82</v>
          </cell>
          <cell r="Y1936">
            <v>3314.69</v>
          </cell>
          <cell r="AE1936">
            <v>0</v>
          </cell>
          <cell r="AF1936">
            <v>998.4</v>
          </cell>
          <cell r="AO1936">
            <v>99.84</v>
          </cell>
          <cell r="AQ1936">
            <v>0.36</v>
          </cell>
          <cell r="AT1936">
            <v>70</v>
          </cell>
          <cell r="AU1936">
            <v>10</v>
          </cell>
          <cell r="AV1936">
            <v>1</v>
          </cell>
          <cell r="BA1936">
            <v>1</v>
          </cell>
          <cell r="BZ1936">
            <v>70</v>
          </cell>
          <cell r="CA1936">
            <v>10</v>
          </cell>
          <cell r="CS1936">
            <v>0</v>
          </cell>
          <cell r="DG1936" t="str">
            <v>)*1*10</v>
          </cell>
          <cell r="DI1936" t="str">
            <v>)*1*10</v>
          </cell>
        </row>
        <row r="1938">
          <cell r="G1938" t="str">
            <v>Уход за водоотводными лотками (633,4 п. м)</v>
          </cell>
        </row>
        <row r="1968">
          <cell r="G1968" t="str">
            <v>"Патриаршее подворье" ( S= 4987,1м2)</v>
          </cell>
        </row>
        <row r="1998">
          <cell r="G1998" t="str">
            <v>Содержание покрытий тротуара "  Храма зачатия правденной Анны". ( S= 1262,2м2).</v>
          </cell>
        </row>
        <row r="2002">
          <cell r="G2002" t="str">
            <v>Содержание покрытий.</v>
          </cell>
        </row>
        <row r="2006">
          <cell r="F2006" t="str">
            <v>калькуляция</v>
          </cell>
          <cell r="G2006" t="str">
            <v>Подметание дорожек  вручную ( S=1262,2 м2)</v>
          </cell>
          <cell r="H2006" t="str">
            <v>м2</v>
          </cell>
          <cell r="I2006">
            <v>1262.2</v>
          </cell>
          <cell r="S2006">
            <v>1092964.22</v>
          </cell>
          <cell r="X2006">
            <v>0</v>
          </cell>
          <cell r="Y2006">
            <v>0</v>
          </cell>
          <cell r="AE2006">
            <v>0</v>
          </cell>
          <cell r="AF2006">
            <v>865.92</v>
          </cell>
          <cell r="AO2006">
            <v>1.32</v>
          </cell>
          <cell r="AV2006">
            <v>1</v>
          </cell>
          <cell r="BA2006">
            <v>1</v>
          </cell>
          <cell r="BZ2006">
            <v>0</v>
          </cell>
          <cell r="CA2006">
            <v>0</v>
          </cell>
          <cell r="CS2006">
            <v>0</v>
          </cell>
          <cell r="DG2006" t="str">
            <v>)*4*164</v>
          </cell>
        </row>
        <row r="2007">
          <cell r="F2007" t="str">
            <v>5.3-1102-8-1/1</v>
          </cell>
          <cell r="G2007" t="str">
            <v>Уборка свежевыпавшего снега вручную толщиной слоя до 10 см ( 1262,2м2 * 0,8*0,7*0,5 = 353,42м2 )</v>
          </cell>
          <cell r="H2007" t="str">
            <v>100 м2</v>
          </cell>
          <cell r="I2007">
            <v>3.5341999999999998</v>
          </cell>
          <cell r="S2007">
            <v>382728.41</v>
          </cell>
          <cell r="U2007">
            <v>1543.73856</v>
          </cell>
          <cell r="X2007">
            <v>267909.89</v>
          </cell>
          <cell r="Y2007">
            <v>38272.839999999997</v>
          </cell>
          <cell r="AE2007">
            <v>0</v>
          </cell>
          <cell r="AF2007">
            <v>108292.8</v>
          </cell>
          <cell r="AO2007">
            <v>161.15</v>
          </cell>
          <cell r="AQ2007">
            <v>0.65</v>
          </cell>
          <cell r="AT2007">
            <v>70</v>
          </cell>
          <cell r="AU2007">
            <v>10</v>
          </cell>
          <cell r="AV2007">
            <v>1</v>
          </cell>
          <cell r="BA2007">
            <v>1</v>
          </cell>
          <cell r="BZ2007">
            <v>70</v>
          </cell>
          <cell r="CA2007">
            <v>10</v>
          </cell>
          <cell r="CS2007">
            <v>0</v>
          </cell>
          <cell r="DG2007" t="str">
            <v>*4*168</v>
          </cell>
          <cell r="DI2007" t="str">
            <v>*4*168</v>
          </cell>
        </row>
        <row r="2008">
          <cell r="F2008" t="str">
            <v>5.3-1102-8-3/1</v>
          </cell>
          <cell r="G2008" t="str">
            <v>Уборка слежавшегося снега вручную(S=1262,2 м2*0,8*0,7*0,5=353,42м2)</v>
          </cell>
          <cell r="H2008" t="str">
            <v>100 м2</v>
          </cell>
          <cell r="I2008">
            <v>3.5341999999999998</v>
          </cell>
          <cell r="S2008">
            <v>225225.52</v>
          </cell>
          <cell r="U2008">
            <v>908.43076800000006</v>
          </cell>
          <cell r="X2008">
            <v>157657.85999999999</v>
          </cell>
          <cell r="Y2008">
            <v>22522.55</v>
          </cell>
          <cell r="AE2008">
            <v>0</v>
          </cell>
          <cell r="AF2008">
            <v>63727.44</v>
          </cell>
          <cell r="AO2008">
            <v>379.33</v>
          </cell>
          <cell r="AQ2008">
            <v>1.53</v>
          </cell>
          <cell r="AT2008">
            <v>70</v>
          </cell>
          <cell r="AU2008">
            <v>10</v>
          </cell>
          <cell r="AV2008">
            <v>1</v>
          </cell>
          <cell r="BA2008">
            <v>1</v>
          </cell>
          <cell r="BZ2008">
            <v>70</v>
          </cell>
          <cell r="CA2008">
            <v>10</v>
          </cell>
          <cell r="CS2008">
            <v>0</v>
          </cell>
          <cell r="DG2008" t="str">
            <v>)*1*168</v>
          </cell>
          <cell r="DI2008" t="str">
            <v>)*1*168</v>
          </cell>
        </row>
        <row r="2009">
          <cell r="F2009" t="str">
            <v>5.3-1102-8-1/1</v>
          </cell>
          <cell r="G2009" t="str">
            <v>Уборка свежевыпавшего снега вручную толщиной слоя до 10 см ( 1262,2м2 * 0,8*0,3*0,5 =  151,46 м2 )</v>
          </cell>
          <cell r="H2009" t="str">
            <v>100 м2</v>
          </cell>
          <cell r="I2009">
            <v>1.5145999999999999</v>
          </cell>
          <cell r="S2009">
            <v>164020.26999999999</v>
          </cell>
          <cell r="U2009">
            <v>661.57727999999997</v>
          </cell>
          <cell r="X2009">
            <v>114814.19</v>
          </cell>
          <cell r="Y2009">
            <v>16402.03</v>
          </cell>
          <cell r="AE2009">
            <v>0</v>
          </cell>
          <cell r="AF2009">
            <v>108292.8</v>
          </cell>
          <cell r="AO2009">
            <v>161.15</v>
          </cell>
          <cell r="AQ2009">
            <v>0.65</v>
          </cell>
          <cell r="AT2009">
            <v>70</v>
          </cell>
          <cell r="AU2009">
            <v>10</v>
          </cell>
          <cell r="AV2009">
            <v>1</v>
          </cell>
          <cell r="BA2009">
            <v>1</v>
          </cell>
          <cell r="BZ2009">
            <v>70</v>
          </cell>
          <cell r="CA2009">
            <v>10</v>
          </cell>
          <cell r="CS2009">
            <v>0</v>
          </cell>
          <cell r="DG2009" t="str">
            <v>*4*168</v>
          </cell>
          <cell r="DI2009" t="str">
            <v>*4*168</v>
          </cell>
        </row>
        <row r="2010">
          <cell r="F2010" t="str">
            <v>5.3-1102-8-2/1</v>
          </cell>
          <cell r="G2010" t="str">
            <v>Уборка свежевыпавшего снега вручную, добавлять на каждые следующие 10 см увеличения толщины слоя</v>
          </cell>
          <cell r="H2010" t="str">
            <v>100 м2</v>
          </cell>
          <cell r="I2010">
            <v>1.5145999999999999</v>
          </cell>
          <cell r="S2010">
            <v>118605.54</v>
          </cell>
          <cell r="U2010">
            <v>478.37126399999994</v>
          </cell>
          <cell r="X2010">
            <v>83023.88</v>
          </cell>
          <cell r="Y2010">
            <v>11860.55</v>
          </cell>
          <cell r="AE2010">
            <v>0</v>
          </cell>
          <cell r="AF2010">
            <v>78308.160000000003</v>
          </cell>
          <cell r="AO2010">
            <v>116.53</v>
          </cell>
          <cell r="AQ2010">
            <v>0.47</v>
          </cell>
          <cell r="AT2010">
            <v>70</v>
          </cell>
          <cell r="AU2010">
            <v>10</v>
          </cell>
          <cell r="AV2010">
            <v>1</v>
          </cell>
          <cell r="BA2010">
            <v>1</v>
          </cell>
          <cell r="BZ2010">
            <v>70</v>
          </cell>
          <cell r="CA2010">
            <v>10</v>
          </cell>
          <cell r="CS2010">
            <v>0</v>
          </cell>
          <cell r="DG2010" t="str">
            <v>*4*168</v>
          </cell>
          <cell r="DI2010" t="str">
            <v>*4*168</v>
          </cell>
        </row>
        <row r="2011">
          <cell r="F2011" t="str">
            <v>5.3-1102-24-1/1</v>
          </cell>
          <cell r="G2011" t="str">
            <v>Уборка свежевыпавшего снега ручной самоходной машиной - ширина захвата 120 см ( S=1262,2м2*0,2=252,44 м2)</v>
          </cell>
          <cell r="H2011" t="str">
            <v>100 м2</v>
          </cell>
          <cell r="I2011">
            <v>2.5244</v>
          </cell>
          <cell r="Q2011">
            <v>57626.6</v>
          </cell>
          <cell r="R2011">
            <v>152.68</v>
          </cell>
          <cell r="S2011">
            <v>164652.26999999999</v>
          </cell>
          <cell r="U2011">
            <v>593.73887999999999</v>
          </cell>
          <cell r="X2011">
            <v>115256.59</v>
          </cell>
          <cell r="Y2011">
            <v>16465.23</v>
          </cell>
          <cell r="AE2011">
            <v>60.48</v>
          </cell>
          <cell r="AF2011">
            <v>65224.32</v>
          </cell>
          <cell r="AM2011">
            <v>33.97</v>
          </cell>
          <cell r="AN2011">
            <v>0.09</v>
          </cell>
          <cell r="AO2011">
            <v>97.06</v>
          </cell>
          <cell r="AQ2011">
            <v>0.35</v>
          </cell>
          <cell r="AT2011">
            <v>70</v>
          </cell>
          <cell r="AU2011">
            <v>10</v>
          </cell>
          <cell r="AV2011">
            <v>1</v>
          </cell>
          <cell r="BA2011">
            <v>1</v>
          </cell>
          <cell r="BB2011">
            <v>1</v>
          </cell>
          <cell r="BS2011">
            <v>1</v>
          </cell>
          <cell r="BZ2011">
            <v>70</v>
          </cell>
          <cell r="CA2011">
            <v>10</v>
          </cell>
          <cell r="CS2011">
            <v>60.48</v>
          </cell>
          <cell r="DE2011" t="str">
            <v>*4*168</v>
          </cell>
          <cell r="DF2011" t="str">
            <v>*4*168</v>
          </cell>
          <cell r="DG2011" t="str">
            <v>*4*168</v>
          </cell>
          <cell r="DI2011" t="str">
            <v>*4*168</v>
          </cell>
        </row>
        <row r="2012">
          <cell r="F2012" t="str">
            <v>5.3-1102-9-1/1</v>
          </cell>
          <cell r="G2012" t="str">
            <v>Колка льда на обледеневших покрытиях вручную ( S=1262,2м2*0,8*0,3*0,5= 151,46  м2)</v>
          </cell>
          <cell r="H2012" t="str">
            <v>100 м2</v>
          </cell>
          <cell r="I2012">
            <v>1.5145999999999999</v>
          </cell>
          <cell r="S2012">
            <v>304076.19</v>
          </cell>
          <cell r="U2012">
            <v>1226.4624959999999</v>
          </cell>
          <cell r="X2012">
            <v>212853.33</v>
          </cell>
          <cell r="Y2012">
            <v>30407.62</v>
          </cell>
          <cell r="AE2012">
            <v>0</v>
          </cell>
          <cell r="AF2012">
            <v>200763.36</v>
          </cell>
          <cell r="AO2012">
            <v>597.51</v>
          </cell>
          <cell r="AQ2012">
            <v>2.41</v>
          </cell>
          <cell r="AT2012">
            <v>70</v>
          </cell>
          <cell r="AU2012">
            <v>10</v>
          </cell>
          <cell r="AV2012">
            <v>1</v>
          </cell>
          <cell r="BA2012">
            <v>1</v>
          </cell>
          <cell r="BZ2012">
            <v>70</v>
          </cell>
          <cell r="CA2012">
            <v>10</v>
          </cell>
          <cell r="CS2012">
            <v>0</v>
          </cell>
          <cell r="DG2012" t="str">
            <v>)*2*168</v>
          </cell>
          <cell r="DI2012" t="str">
            <v>)*2*168</v>
          </cell>
        </row>
        <row r="2013">
          <cell r="F2013" t="str">
            <v>калькуляция</v>
          </cell>
          <cell r="G2013" t="str">
            <v>Посыпка гранитной крошкой  дорожных покрытий вручную( 100г/м2 )</v>
          </cell>
          <cell r="H2013" t="str">
            <v>м2</v>
          </cell>
          <cell r="I2013">
            <v>1262.2</v>
          </cell>
          <cell r="S2013">
            <v>1764252.67</v>
          </cell>
          <cell r="X2013">
            <v>0</v>
          </cell>
          <cell r="Y2013">
            <v>0</v>
          </cell>
          <cell r="AE2013">
            <v>0</v>
          </cell>
          <cell r="AF2013">
            <v>1397.76</v>
          </cell>
          <cell r="AO2013">
            <v>2.08</v>
          </cell>
          <cell r="AV2013">
            <v>1</v>
          </cell>
          <cell r="BA2013">
            <v>1</v>
          </cell>
          <cell r="BZ2013">
            <v>0</v>
          </cell>
          <cell r="CA2013">
            <v>0</v>
          </cell>
          <cell r="CS2013">
            <v>0</v>
          </cell>
          <cell r="DG2013" t="str">
            <v>*4*168</v>
          </cell>
        </row>
        <row r="2014">
          <cell r="F2014" t="str">
            <v>цена поставщика</v>
          </cell>
          <cell r="G2014" t="str">
            <v>Крошка гранитная</v>
          </cell>
          <cell r="H2014" t="str">
            <v>кг</v>
          </cell>
          <cell r="I2014">
            <v>84819.839999999982</v>
          </cell>
          <cell r="O2014">
            <v>375751.89</v>
          </cell>
          <cell r="X2014">
            <v>0</v>
          </cell>
          <cell r="Y2014">
            <v>0</v>
          </cell>
          <cell r="AE2014">
            <v>0</v>
          </cell>
          <cell r="AF2014">
            <v>0</v>
          </cell>
          <cell r="AK2014">
            <v>4.43</v>
          </cell>
          <cell r="AV2014">
            <v>1</v>
          </cell>
          <cell r="AW2014">
            <v>1</v>
          </cell>
          <cell r="BC2014">
            <v>1</v>
          </cell>
          <cell r="BZ2014">
            <v>0</v>
          </cell>
          <cell r="CA2014">
            <v>0</v>
          </cell>
          <cell r="CS2014">
            <v>0</v>
          </cell>
        </row>
        <row r="2015">
          <cell r="F2015" t="str">
            <v>5.4-1201-1-1/1</v>
          </cell>
          <cell r="G2015" t="str">
            <v>Сбор случайного мусора по территории</v>
          </cell>
          <cell r="H2015" t="str">
            <v>100 м2</v>
          </cell>
          <cell r="I2015">
            <v>12.622</v>
          </cell>
          <cell r="P2015">
            <v>11565.79</v>
          </cell>
          <cell r="S2015">
            <v>207849</v>
          </cell>
          <cell r="U2015">
            <v>838.10080000000005</v>
          </cell>
          <cell r="X2015">
            <v>145494.29999999999</v>
          </cell>
          <cell r="Y2015">
            <v>20784.900000000001</v>
          </cell>
          <cell r="AE2015">
            <v>0</v>
          </cell>
          <cell r="AF2015">
            <v>16467.2</v>
          </cell>
          <cell r="AL2015">
            <v>0.69</v>
          </cell>
          <cell r="AO2015">
            <v>12.4</v>
          </cell>
          <cell r="AQ2015">
            <v>0.05</v>
          </cell>
          <cell r="AT2015">
            <v>70</v>
          </cell>
          <cell r="AU2015">
            <v>10</v>
          </cell>
          <cell r="AV2015">
            <v>1</v>
          </cell>
          <cell r="AW2015">
            <v>1</v>
          </cell>
          <cell r="BA2015">
            <v>1</v>
          </cell>
          <cell r="BC2015">
            <v>1</v>
          </cell>
          <cell r="BZ2015">
            <v>70</v>
          </cell>
          <cell r="CA2015">
            <v>10</v>
          </cell>
          <cell r="CS2015">
            <v>0</v>
          </cell>
          <cell r="DD2015" t="str">
            <v>)*4*332</v>
          </cell>
          <cell r="DG2015" t="str">
            <v>)*4*332</v>
          </cell>
          <cell r="DI2015" t="str">
            <v>)*4*332</v>
          </cell>
        </row>
        <row r="2017">
          <cell r="G2017" t="str">
            <v>Содержание покрытий.</v>
          </cell>
        </row>
        <row r="2047">
          <cell r="G2047" t="str">
            <v>Содержание покрытий тротуара "  Храма зачатия правденной Анны". ( S= 1262,2м2).</v>
          </cell>
        </row>
        <row r="2077">
          <cell r="G2077" t="str">
            <v>Боевой ход Китайгородской стены ( S=1414,76 м2 ).</v>
          </cell>
        </row>
        <row r="2081">
          <cell r="G2081" t="str">
            <v>Содержание покрытий.</v>
          </cell>
        </row>
        <row r="2085">
          <cell r="F2085" t="str">
            <v>калькуляция</v>
          </cell>
          <cell r="G2085" t="str">
            <v>Подметание дорожек  вручную ( S=1414,76 м2)</v>
          </cell>
          <cell r="H2085" t="str">
            <v>м2</v>
          </cell>
          <cell r="I2085">
            <v>1414.76</v>
          </cell>
          <cell r="S2085">
            <v>306267.24</v>
          </cell>
          <cell r="X2085">
            <v>0</v>
          </cell>
          <cell r="Y2085">
            <v>0</v>
          </cell>
          <cell r="AE2085">
            <v>0</v>
          </cell>
          <cell r="AF2085">
            <v>216.48</v>
          </cell>
          <cell r="AO2085">
            <v>1.32</v>
          </cell>
          <cell r="AV2085">
            <v>1</v>
          </cell>
          <cell r="BA2085">
            <v>1</v>
          </cell>
          <cell r="BZ2085">
            <v>0</v>
          </cell>
          <cell r="CA2085">
            <v>0</v>
          </cell>
          <cell r="CS2085">
            <v>0</v>
          </cell>
          <cell r="DG2085" t="str">
            <v>)*1*164</v>
          </cell>
        </row>
        <row r="2086">
          <cell r="F2086" t="str">
            <v>5.3-1102-8-1/1</v>
          </cell>
          <cell r="G2086" t="str">
            <v>Уборка свежевыпавшего снега вручную толщиной слоя до 10 см ( 1414,76 м2 * 0,2 = 282,95м2 )</v>
          </cell>
          <cell r="H2086" t="str">
            <v>100 м2</v>
          </cell>
          <cell r="I2086">
            <v>2.8294999999999999</v>
          </cell>
          <cell r="S2086">
            <v>76603.62</v>
          </cell>
          <cell r="U2086">
            <v>308.98140000000001</v>
          </cell>
          <cell r="X2086">
            <v>53622.53</v>
          </cell>
          <cell r="Y2086">
            <v>7660.36</v>
          </cell>
          <cell r="AE2086">
            <v>0</v>
          </cell>
          <cell r="AF2086">
            <v>27073.200000000001</v>
          </cell>
          <cell r="AO2086">
            <v>161.15</v>
          </cell>
          <cell r="AQ2086">
            <v>0.65</v>
          </cell>
          <cell r="AT2086">
            <v>70</v>
          </cell>
          <cell r="AU2086">
            <v>10</v>
          </cell>
          <cell r="AV2086">
            <v>1</v>
          </cell>
          <cell r="BA2086">
            <v>1</v>
          </cell>
          <cell r="BZ2086">
            <v>70</v>
          </cell>
          <cell r="CA2086">
            <v>10</v>
          </cell>
          <cell r="CS2086">
            <v>0</v>
          </cell>
          <cell r="DG2086" t="str">
            <v>)*1*168</v>
          </cell>
          <cell r="DI2086" t="str">
            <v>)*1*168</v>
          </cell>
        </row>
        <row r="2087">
          <cell r="F2087" t="str">
            <v>5.4-1201-1-1/1</v>
          </cell>
          <cell r="G2087" t="str">
            <v>Сбор случайного мусора по территории</v>
          </cell>
          <cell r="H2087" t="str">
            <v>100 м2</v>
          </cell>
          <cell r="I2087">
            <v>14.147600000000001</v>
          </cell>
          <cell r="P2087">
            <v>3240.93</v>
          </cell>
          <cell r="S2087">
            <v>58242.84</v>
          </cell>
          <cell r="U2087">
            <v>234.85016000000002</v>
          </cell>
          <cell r="X2087">
            <v>40769.99</v>
          </cell>
          <cell r="Y2087">
            <v>5824.28</v>
          </cell>
          <cell r="AE2087">
            <v>0</v>
          </cell>
          <cell r="AF2087">
            <v>4116.8</v>
          </cell>
          <cell r="AL2087">
            <v>0.69</v>
          </cell>
          <cell r="AO2087">
            <v>12.4</v>
          </cell>
          <cell r="AQ2087">
            <v>0.05</v>
          </cell>
          <cell r="AT2087">
            <v>70</v>
          </cell>
          <cell r="AU2087">
            <v>10</v>
          </cell>
          <cell r="AV2087">
            <v>1</v>
          </cell>
          <cell r="AW2087">
            <v>1</v>
          </cell>
          <cell r="BA2087">
            <v>1</v>
          </cell>
          <cell r="BC2087">
            <v>1</v>
          </cell>
          <cell r="BZ2087">
            <v>70</v>
          </cell>
          <cell r="CA2087">
            <v>10</v>
          </cell>
          <cell r="CS2087">
            <v>0</v>
          </cell>
          <cell r="DD2087" t="str">
            <v>)*1*332</v>
          </cell>
          <cell r="DG2087" t="str">
            <v>)*1*332</v>
          </cell>
          <cell r="DI2087" t="str">
            <v>)*1*332</v>
          </cell>
        </row>
        <row r="2089">
          <cell r="G2089" t="str">
            <v>Содержание покрытий.</v>
          </cell>
        </row>
        <row r="2119">
          <cell r="G2119" t="str">
            <v>Уход за лестницей металлической.</v>
          </cell>
        </row>
        <row r="2123">
          <cell r="F2123" t="str">
            <v>калькуляция</v>
          </cell>
          <cell r="G2123" t="str">
            <v>Уход за металлической лестницей</v>
          </cell>
          <cell r="H2123" t="str">
            <v>м2</v>
          </cell>
          <cell r="I2123">
            <v>29.8</v>
          </cell>
          <cell r="S2123">
            <v>36761.279999999999</v>
          </cell>
          <cell r="X2123">
            <v>0</v>
          </cell>
          <cell r="Y2123">
            <v>0</v>
          </cell>
          <cell r="AE2123">
            <v>0</v>
          </cell>
          <cell r="AF2123">
            <v>1233.5999999999999</v>
          </cell>
          <cell r="AO2123">
            <v>5.14</v>
          </cell>
          <cell r="AV2123">
            <v>1</v>
          </cell>
          <cell r="BA2123">
            <v>1</v>
          </cell>
          <cell r="BZ2123">
            <v>0</v>
          </cell>
          <cell r="CA2123">
            <v>0</v>
          </cell>
          <cell r="CS2123">
            <v>0</v>
          </cell>
          <cell r="DG2123" t="str">
            <v>)*1*240</v>
          </cell>
        </row>
        <row r="2125">
          <cell r="G2125" t="str">
            <v>Уход за лестницей металлической.</v>
          </cell>
        </row>
        <row r="2155">
          <cell r="G2155" t="str">
            <v>Боевой ход Китайгородской стены ( S=1414,76 м2 ).</v>
          </cell>
        </row>
        <row r="2185">
          <cell r="G2185" t="str">
            <v>" Старый Английский двор ".</v>
          </cell>
        </row>
        <row r="2189">
          <cell r="G2189" t="str">
            <v>Содержание покрытий ( S=561,5 м2)..</v>
          </cell>
        </row>
        <row r="2193">
          <cell r="F2193" t="str">
            <v>калькуляция</v>
          </cell>
          <cell r="G2193" t="str">
            <v>Подметание дорожек  вручную ( S=561,5 м2)</v>
          </cell>
          <cell r="H2193" t="str">
            <v>м2</v>
          </cell>
          <cell r="I2193">
            <v>561.5</v>
          </cell>
          <cell r="S2193">
            <v>486214.08</v>
          </cell>
          <cell r="X2193">
            <v>0</v>
          </cell>
          <cell r="Y2193">
            <v>0</v>
          </cell>
          <cell r="AE2193">
            <v>0</v>
          </cell>
          <cell r="AF2193">
            <v>865.92</v>
          </cell>
          <cell r="AO2193">
            <v>1.32</v>
          </cell>
          <cell r="AV2193">
            <v>1</v>
          </cell>
          <cell r="BA2193">
            <v>1</v>
          </cell>
          <cell r="BZ2193">
            <v>0</v>
          </cell>
          <cell r="CA2193">
            <v>0</v>
          </cell>
          <cell r="CS2193">
            <v>0</v>
          </cell>
          <cell r="DG2193" t="str">
            <v>)*4*164</v>
          </cell>
        </row>
        <row r="2194">
          <cell r="F2194" t="str">
            <v>5.3-1102-8-1/1</v>
          </cell>
          <cell r="G2194" t="str">
            <v>Уборка свежевыпавшего снега вручную толщиной слоя до 10 см ( 561,5 м2 * 0,8*0,7*0,5 = 157,22м2 )</v>
          </cell>
          <cell r="H2194" t="str">
            <v>100 м2</v>
          </cell>
          <cell r="I2194">
            <v>1.5722</v>
          </cell>
          <cell r="S2194">
            <v>170257.94</v>
          </cell>
          <cell r="U2194">
            <v>686.73696000000007</v>
          </cell>
          <cell r="X2194">
            <v>119180.56</v>
          </cell>
          <cell r="Y2194">
            <v>17025.79</v>
          </cell>
          <cell r="AE2194">
            <v>0</v>
          </cell>
          <cell r="AF2194">
            <v>108292.8</v>
          </cell>
          <cell r="AO2194">
            <v>161.15</v>
          </cell>
          <cell r="AQ2194">
            <v>0.65</v>
          </cell>
          <cell r="AT2194">
            <v>70</v>
          </cell>
          <cell r="AU2194">
            <v>10</v>
          </cell>
          <cell r="AV2194">
            <v>1</v>
          </cell>
          <cell r="BA2194">
            <v>1</v>
          </cell>
          <cell r="BZ2194">
            <v>70</v>
          </cell>
          <cell r="CA2194">
            <v>10</v>
          </cell>
          <cell r="CS2194">
            <v>0</v>
          </cell>
          <cell r="DG2194" t="str">
            <v>*4*168</v>
          </cell>
          <cell r="DI2194" t="str">
            <v>*4*168</v>
          </cell>
        </row>
        <row r="2195">
          <cell r="F2195" t="str">
            <v>5.3-1102-8-3/1</v>
          </cell>
          <cell r="G2195" t="str">
            <v>Уборка слежавшегося снега вручную(S=561,5м2*0,8*0,7*0,5=157,22м2)</v>
          </cell>
          <cell r="H2195" t="str">
            <v>100 м2</v>
          </cell>
          <cell r="I2195">
            <v>1.5722</v>
          </cell>
          <cell r="S2195">
            <v>100192.28</v>
          </cell>
          <cell r="U2195">
            <v>404.11828800000006</v>
          </cell>
          <cell r="X2195">
            <v>70134.600000000006</v>
          </cell>
          <cell r="Y2195">
            <v>10019.23</v>
          </cell>
          <cell r="AE2195">
            <v>0</v>
          </cell>
          <cell r="AF2195">
            <v>63727.44</v>
          </cell>
          <cell r="AO2195">
            <v>379.33</v>
          </cell>
          <cell r="AQ2195">
            <v>1.53</v>
          </cell>
          <cell r="AT2195">
            <v>70</v>
          </cell>
          <cell r="AU2195">
            <v>10</v>
          </cell>
          <cell r="AV2195">
            <v>1</v>
          </cell>
          <cell r="BA2195">
            <v>1</v>
          </cell>
          <cell r="BZ2195">
            <v>70</v>
          </cell>
          <cell r="CA2195">
            <v>10</v>
          </cell>
          <cell r="CS2195">
            <v>0</v>
          </cell>
          <cell r="DG2195" t="str">
            <v>)*1*168</v>
          </cell>
          <cell r="DI2195" t="str">
            <v>)*1*168</v>
          </cell>
        </row>
        <row r="2196">
          <cell r="F2196" t="str">
            <v>5.3-1102-8-1/1</v>
          </cell>
          <cell r="G2196" t="str">
            <v>Уборка свежевыпавшего снега вручную толщиной слоя до 10 см ( 561.5 м2 * 0,8*0,3*0,5 = 67,38 м2 )</v>
          </cell>
          <cell r="H2196" t="str">
            <v>100 м2</v>
          </cell>
          <cell r="I2196">
            <v>0.67379999999999995</v>
          </cell>
          <cell r="S2196">
            <v>72967.69</v>
          </cell>
          <cell r="U2196">
            <v>294.31583999999998</v>
          </cell>
          <cell r="X2196">
            <v>51077.38</v>
          </cell>
          <cell r="Y2196">
            <v>7296.77</v>
          </cell>
          <cell r="AE2196">
            <v>0</v>
          </cell>
          <cell r="AF2196">
            <v>108292.8</v>
          </cell>
          <cell r="AO2196">
            <v>161.15</v>
          </cell>
          <cell r="AQ2196">
            <v>0.65</v>
          </cell>
          <cell r="AT2196">
            <v>70</v>
          </cell>
          <cell r="AU2196">
            <v>10</v>
          </cell>
          <cell r="AV2196">
            <v>1</v>
          </cell>
          <cell r="BA2196">
            <v>1</v>
          </cell>
          <cell r="BZ2196">
            <v>70</v>
          </cell>
          <cell r="CA2196">
            <v>10</v>
          </cell>
          <cell r="CS2196">
            <v>0</v>
          </cell>
          <cell r="DG2196" t="str">
            <v>*4*168</v>
          </cell>
          <cell r="DI2196" t="str">
            <v>*4*168</v>
          </cell>
        </row>
        <row r="2197">
          <cell r="F2197" t="str">
            <v>5.3-1102-8-2/1</v>
          </cell>
          <cell r="G2197" t="str">
            <v>Уборка свежевыпавшего снега вручную, добавлять на каждые следующие 10 см увеличения толщины слоя</v>
          </cell>
          <cell r="H2197" t="str">
            <v>100 м2</v>
          </cell>
          <cell r="I2197">
            <v>0.67379999999999995</v>
          </cell>
          <cell r="S2197">
            <v>52764.04</v>
          </cell>
          <cell r="U2197">
            <v>212.81299199999998</v>
          </cell>
          <cell r="X2197">
            <v>36934.83</v>
          </cell>
          <cell r="Y2197">
            <v>5276.4</v>
          </cell>
          <cell r="AE2197">
            <v>0</v>
          </cell>
          <cell r="AF2197">
            <v>78308.160000000003</v>
          </cell>
          <cell r="AO2197">
            <v>116.53</v>
          </cell>
          <cell r="AQ2197">
            <v>0.47</v>
          </cell>
          <cell r="AT2197">
            <v>70</v>
          </cell>
          <cell r="AU2197">
            <v>10</v>
          </cell>
          <cell r="AV2197">
            <v>1</v>
          </cell>
          <cell r="BA2197">
            <v>1</v>
          </cell>
          <cell r="BZ2197">
            <v>70</v>
          </cell>
          <cell r="CA2197">
            <v>10</v>
          </cell>
          <cell r="CS2197">
            <v>0</v>
          </cell>
          <cell r="DG2197" t="str">
            <v>*4*168</v>
          </cell>
          <cell r="DI2197" t="str">
            <v>*4*168</v>
          </cell>
        </row>
        <row r="2198">
          <cell r="F2198" t="str">
            <v>5.3-1102-24-1/1</v>
          </cell>
          <cell r="G2198" t="str">
            <v>Уборка свежевыпавшего снега ручной самоходной машиной - ширина захвата 120 см ( S=561,5м2*0,2=112,3м2)</v>
          </cell>
          <cell r="H2198" t="str">
            <v>100 м2</v>
          </cell>
          <cell r="I2198">
            <v>1.123</v>
          </cell>
          <cell r="Q2198">
            <v>25635.66</v>
          </cell>
          <cell r="R2198">
            <v>67.92</v>
          </cell>
          <cell r="S2198">
            <v>73246.91</v>
          </cell>
          <cell r="U2198">
            <v>264.12959999999998</v>
          </cell>
          <cell r="X2198">
            <v>51272.84</v>
          </cell>
          <cell r="Y2198">
            <v>7324.69</v>
          </cell>
          <cell r="AE2198">
            <v>60.48</v>
          </cell>
          <cell r="AF2198">
            <v>65224.32</v>
          </cell>
          <cell r="AM2198">
            <v>33.97</v>
          </cell>
          <cell r="AN2198">
            <v>0.09</v>
          </cell>
          <cell r="AO2198">
            <v>97.06</v>
          </cell>
          <cell r="AQ2198">
            <v>0.35</v>
          </cell>
          <cell r="AT2198">
            <v>70</v>
          </cell>
          <cell r="AU2198">
            <v>10</v>
          </cell>
          <cell r="AV2198">
            <v>1</v>
          </cell>
          <cell r="BA2198">
            <v>1</v>
          </cell>
          <cell r="BB2198">
            <v>1</v>
          </cell>
          <cell r="BS2198">
            <v>1</v>
          </cell>
          <cell r="BZ2198">
            <v>70</v>
          </cell>
          <cell r="CA2198">
            <v>10</v>
          </cell>
          <cell r="CS2198">
            <v>60.48</v>
          </cell>
          <cell r="DE2198" t="str">
            <v>*4*168</v>
          </cell>
          <cell r="DF2198" t="str">
            <v>*4*168</v>
          </cell>
          <cell r="DG2198" t="str">
            <v>*4*168</v>
          </cell>
          <cell r="DI2198" t="str">
            <v>*4*168</v>
          </cell>
        </row>
        <row r="2199">
          <cell r="F2199" t="str">
            <v>5.3-1102-9-1/1</v>
          </cell>
          <cell r="G2199" t="str">
            <v>Колка льда на обледеневших покрытиях вручную ( S=561,5м2*0,8*0,3*0,5= 67,38м2)</v>
          </cell>
          <cell r="H2199" t="str">
            <v>100 м2</v>
          </cell>
          <cell r="I2199">
            <v>0.67379999999999995</v>
          </cell>
          <cell r="S2199">
            <v>135274.35</v>
          </cell>
          <cell r="U2199">
            <v>545.61628799999994</v>
          </cell>
          <cell r="X2199">
            <v>94692.05</v>
          </cell>
          <cell r="Y2199">
            <v>13527.44</v>
          </cell>
          <cell r="AE2199">
            <v>0</v>
          </cell>
          <cell r="AF2199">
            <v>200763.36</v>
          </cell>
          <cell r="AO2199">
            <v>597.51</v>
          </cell>
          <cell r="AQ2199">
            <v>2.41</v>
          </cell>
          <cell r="AT2199">
            <v>70</v>
          </cell>
          <cell r="AU2199">
            <v>10</v>
          </cell>
          <cell r="AV2199">
            <v>1</v>
          </cell>
          <cell r="BA2199">
            <v>1</v>
          </cell>
          <cell r="BZ2199">
            <v>70</v>
          </cell>
          <cell r="CA2199">
            <v>10</v>
          </cell>
          <cell r="CS2199">
            <v>0</v>
          </cell>
          <cell r="DG2199" t="str">
            <v>)*2*168</v>
          </cell>
          <cell r="DI2199" t="str">
            <v>)*2*168</v>
          </cell>
        </row>
        <row r="2200">
          <cell r="F2200" t="str">
            <v>калькуляция</v>
          </cell>
          <cell r="G2200" t="str">
            <v>Посыпка гранитной крошкой  дорожных покрытий вручную( 100г/м2 )</v>
          </cell>
          <cell r="H2200" t="str">
            <v>м2</v>
          </cell>
          <cell r="I2200">
            <v>561.5</v>
          </cell>
          <cell r="S2200">
            <v>784842.23999999999</v>
          </cell>
          <cell r="X2200">
            <v>0</v>
          </cell>
          <cell r="Y2200">
            <v>0</v>
          </cell>
          <cell r="AE2200">
            <v>0</v>
          </cell>
          <cell r="AF2200">
            <v>1397.76</v>
          </cell>
          <cell r="AO2200">
            <v>2.08</v>
          </cell>
          <cell r="AV2200">
            <v>1</v>
          </cell>
          <cell r="BA2200">
            <v>1</v>
          </cell>
          <cell r="BZ2200">
            <v>0</v>
          </cell>
          <cell r="CA2200">
            <v>0</v>
          </cell>
          <cell r="CS2200">
            <v>0</v>
          </cell>
          <cell r="DG2200" t="str">
            <v>*4*168</v>
          </cell>
        </row>
        <row r="2201">
          <cell r="F2201" t="str">
            <v>цена поставщика</v>
          </cell>
          <cell r="G2201" t="str">
            <v>Крошка гранитная</v>
          </cell>
          <cell r="H2201" t="str">
            <v>кг</v>
          </cell>
          <cell r="I2201">
            <v>37732.800000000003</v>
          </cell>
          <cell r="O2201">
            <v>167156.29999999999</v>
          </cell>
          <cell r="X2201">
            <v>0</v>
          </cell>
          <cell r="Y2201">
            <v>0</v>
          </cell>
          <cell r="AE2201">
            <v>0</v>
          </cell>
          <cell r="AF2201">
            <v>0</v>
          </cell>
          <cell r="AK2201">
            <v>4.43</v>
          </cell>
          <cell r="AV2201">
            <v>1</v>
          </cell>
          <cell r="AW2201">
            <v>1</v>
          </cell>
          <cell r="BC2201">
            <v>1</v>
          </cell>
          <cell r="BZ2201">
            <v>0</v>
          </cell>
          <cell r="CA2201">
            <v>0</v>
          </cell>
          <cell r="CS2201">
            <v>0</v>
          </cell>
        </row>
        <row r="2202">
          <cell r="F2202" t="str">
            <v>5.4-1201-1-1/1</v>
          </cell>
          <cell r="G2202" t="str">
            <v>Сбор случайного мусора по территории</v>
          </cell>
          <cell r="H2202" t="str">
            <v>100 м2</v>
          </cell>
          <cell r="I2202">
            <v>5.6150000000000002</v>
          </cell>
          <cell r="P2202">
            <v>5145.1400000000003</v>
          </cell>
          <cell r="S2202">
            <v>92463.33</v>
          </cell>
          <cell r="U2202">
            <v>372.83600000000007</v>
          </cell>
          <cell r="X2202">
            <v>64724.33</v>
          </cell>
          <cell r="Y2202">
            <v>9246.33</v>
          </cell>
          <cell r="AE2202">
            <v>0</v>
          </cell>
          <cell r="AF2202">
            <v>16467.2</v>
          </cell>
          <cell r="AL2202">
            <v>0.69</v>
          </cell>
          <cell r="AO2202">
            <v>12.4</v>
          </cell>
          <cell r="AQ2202">
            <v>0.05</v>
          </cell>
          <cell r="AT2202">
            <v>70</v>
          </cell>
          <cell r="AU2202">
            <v>10</v>
          </cell>
          <cell r="AV2202">
            <v>1</v>
          </cell>
          <cell r="AW2202">
            <v>1</v>
          </cell>
          <cell r="BA2202">
            <v>1</v>
          </cell>
          <cell r="BC2202">
            <v>1</v>
          </cell>
          <cell r="BZ2202">
            <v>70</v>
          </cell>
          <cell r="CA2202">
            <v>10</v>
          </cell>
          <cell r="CS2202">
            <v>0</v>
          </cell>
          <cell r="DD2202" t="str">
            <v>)*4*332</v>
          </cell>
          <cell r="DG2202" t="str">
            <v>)*4*332</v>
          </cell>
          <cell r="DI2202" t="str">
            <v>)*4*332</v>
          </cell>
        </row>
        <row r="2204">
          <cell r="G2204" t="str">
            <v>Содержание покрытий ( S=561,5 м2)..</v>
          </cell>
        </row>
        <row r="2234">
          <cell r="G2234" t="str">
            <v>Уход за лестницей и крыльцом.</v>
          </cell>
        </row>
        <row r="2238">
          <cell r="F2238" t="str">
            <v>калькуляция</v>
          </cell>
          <cell r="G2238" t="str">
            <v>Подметание лестницы</v>
          </cell>
          <cell r="H2238" t="str">
            <v>м2</v>
          </cell>
          <cell r="I2238">
            <v>29.57</v>
          </cell>
          <cell r="S2238">
            <v>37631.96</v>
          </cell>
          <cell r="X2238">
            <v>0</v>
          </cell>
          <cell r="Y2238">
            <v>0</v>
          </cell>
          <cell r="AE2238">
            <v>0</v>
          </cell>
          <cell r="AF2238">
            <v>1272.6400000000001</v>
          </cell>
          <cell r="AO2238">
            <v>1.94</v>
          </cell>
          <cell r="AV2238">
            <v>1</v>
          </cell>
          <cell r="BA2238">
            <v>1</v>
          </cell>
          <cell r="BZ2238">
            <v>0</v>
          </cell>
          <cell r="CA2238">
            <v>0</v>
          </cell>
          <cell r="CS2238">
            <v>0</v>
          </cell>
          <cell r="DG2238" t="str">
            <v>)*4*164</v>
          </cell>
        </row>
        <row r="2239">
          <cell r="F2239" t="str">
            <v>5.3-1102-19-1/1</v>
          </cell>
          <cell r="G2239" t="str">
            <v>Уборка лестниц от снега вручную на территории типа ВДНХ - толщиной до 10 см</v>
          </cell>
          <cell r="H2239" t="str">
            <v>100 м2</v>
          </cell>
          <cell r="I2239">
            <v>0.29570000000000002</v>
          </cell>
          <cell r="S2239">
            <v>30545.759999999998</v>
          </cell>
          <cell r="U2239">
            <v>123.20044800000001</v>
          </cell>
          <cell r="X2239">
            <v>21382.03</v>
          </cell>
          <cell r="Y2239">
            <v>3054.58</v>
          </cell>
          <cell r="AE2239">
            <v>0</v>
          </cell>
          <cell r="AF2239">
            <v>103299.84</v>
          </cell>
          <cell r="AO2239">
            <v>153.72</v>
          </cell>
          <cell r="AQ2239">
            <v>0.62</v>
          </cell>
          <cell r="AT2239">
            <v>70</v>
          </cell>
          <cell r="AU2239">
            <v>10</v>
          </cell>
          <cell r="AV2239">
            <v>1</v>
          </cell>
          <cell r="BA2239">
            <v>1</v>
          </cell>
          <cell r="BZ2239">
            <v>70</v>
          </cell>
          <cell r="CA2239">
            <v>10</v>
          </cell>
          <cell r="CS2239">
            <v>0</v>
          </cell>
          <cell r="DG2239" t="str">
            <v>)*4*168</v>
          </cell>
          <cell r="DI2239" t="str">
            <v>)*4*168</v>
          </cell>
        </row>
        <row r="2240">
          <cell r="F2240" t="str">
            <v>5.3-1102-8-3/1</v>
          </cell>
          <cell r="G2240" t="str">
            <v>Уборка слежавшегося снега вручную</v>
          </cell>
          <cell r="H2240" t="str">
            <v>100 м2</v>
          </cell>
          <cell r="I2240">
            <v>2.98E-2</v>
          </cell>
          <cell r="S2240">
            <v>474.77</v>
          </cell>
          <cell r="U2240">
            <v>1.9149480000000001</v>
          </cell>
          <cell r="X2240">
            <v>332.34</v>
          </cell>
          <cell r="Y2240">
            <v>47.48</v>
          </cell>
          <cell r="AE2240">
            <v>0</v>
          </cell>
          <cell r="AF2240">
            <v>15931.86</v>
          </cell>
          <cell r="AO2240">
            <v>379.33</v>
          </cell>
          <cell r="AQ2240">
            <v>1.53</v>
          </cell>
          <cell r="AT2240">
            <v>70</v>
          </cell>
          <cell r="AU2240">
            <v>10</v>
          </cell>
          <cell r="AV2240">
            <v>1</v>
          </cell>
          <cell r="BA2240">
            <v>1</v>
          </cell>
          <cell r="BZ2240">
            <v>70</v>
          </cell>
          <cell r="CA2240">
            <v>10</v>
          </cell>
          <cell r="CS2240">
            <v>0</v>
          </cell>
          <cell r="DG2240" t="str">
            <v>)*1*42</v>
          </cell>
          <cell r="DI2240" t="str">
            <v>)*1*42</v>
          </cell>
        </row>
        <row r="2242">
          <cell r="G2242" t="str">
            <v>Уход за лестницей и крыльцом.</v>
          </cell>
        </row>
        <row r="2272">
          <cell r="G2272" t="str">
            <v>" Старый Английский двор ".</v>
          </cell>
        </row>
        <row r="2302">
          <cell r="G2302" t="str">
            <v>Сбор и перемещение снега и скола к месту временного размещения( 2024г.)</v>
          </cell>
        </row>
        <row r="2306">
          <cell r="F2306" t="str">
            <v>5.3-1102-25-1/1</v>
          </cell>
          <cell r="G2306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    </cell>
          <cell r="H2306" t="str">
            <v>м3</v>
          </cell>
          <cell r="I2306">
            <v>3707.75</v>
          </cell>
          <cell r="Q2306">
            <v>1416916.66</v>
          </cell>
          <cell r="R2306">
            <v>684302.34</v>
          </cell>
          <cell r="S2306">
            <v>340111.91</v>
          </cell>
          <cell r="U2306">
            <v>1371.8675000000001</v>
          </cell>
          <cell r="X2306">
            <v>238078.34</v>
          </cell>
          <cell r="Y2306">
            <v>34011.19</v>
          </cell>
          <cell r="AE2306">
            <v>184.56</v>
          </cell>
          <cell r="AF2306">
            <v>91.73</v>
          </cell>
          <cell r="AM2306">
            <v>382.15</v>
          </cell>
          <cell r="AN2306">
            <v>184.56</v>
          </cell>
          <cell r="AO2306">
            <v>91.73</v>
          </cell>
          <cell r="AQ2306">
            <v>0.37</v>
          </cell>
          <cell r="AT2306">
            <v>70</v>
          </cell>
          <cell r="AU2306">
            <v>10</v>
          </cell>
          <cell r="AV2306">
            <v>1</v>
          </cell>
          <cell r="BA2306">
            <v>1</v>
          </cell>
          <cell r="BB2306">
            <v>1</v>
          </cell>
          <cell r="BS2306">
            <v>1</v>
          </cell>
          <cell r="BZ2306">
            <v>70</v>
          </cell>
          <cell r="CA2306">
            <v>10</v>
          </cell>
          <cell r="CS2306">
            <v>184.56</v>
          </cell>
          <cell r="DE2306" t="str">
            <v>)*1</v>
          </cell>
          <cell r="DF2306" t="str">
            <v>)*1</v>
          </cell>
          <cell r="DG2306" t="str">
            <v>)*1</v>
          </cell>
          <cell r="DI2306" t="str">
            <v>)*1</v>
          </cell>
        </row>
        <row r="2307">
          <cell r="F2307" t="str">
            <v>5.3-1102-25-2/1</v>
          </cell>
          <cell r="G2307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07" t="str">
            <v>м3</v>
          </cell>
          <cell r="I2307">
            <v>-3707.75</v>
          </cell>
          <cell r="Q2307">
            <v>-366770.63</v>
          </cell>
          <cell r="R2307">
            <v>-177082.14</v>
          </cell>
          <cell r="S2307">
            <v>-110342.64</v>
          </cell>
          <cell r="U2307">
            <v>-444.93</v>
          </cell>
          <cell r="X2307">
            <v>-77239.850000000006</v>
          </cell>
          <cell r="Y2307">
            <v>-11034.26</v>
          </cell>
          <cell r="AE2307">
            <v>47.76</v>
          </cell>
          <cell r="AF2307">
            <v>29.76</v>
          </cell>
          <cell r="AM2307">
            <v>24.73</v>
          </cell>
          <cell r="AN2307">
            <v>11.94</v>
          </cell>
          <cell r="AO2307">
            <v>7.44</v>
          </cell>
          <cell r="AQ2307">
            <v>0.03</v>
          </cell>
          <cell r="AT2307">
            <v>70</v>
          </cell>
          <cell r="AU2307">
            <v>10</v>
          </cell>
          <cell r="AV2307">
            <v>1</v>
          </cell>
          <cell r="BA2307">
            <v>1</v>
          </cell>
          <cell r="BB2307">
            <v>1</v>
          </cell>
          <cell r="BS2307">
            <v>1</v>
          </cell>
          <cell r="BZ2307">
            <v>70</v>
          </cell>
          <cell r="CA2307">
            <v>10</v>
          </cell>
          <cell r="CS2307">
            <v>47.76</v>
          </cell>
          <cell r="DE2307" t="str">
            <v>)*4</v>
          </cell>
          <cell r="DF2307" t="str">
            <v>)*4</v>
          </cell>
          <cell r="DG2307" t="str">
            <v>)*4</v>
          </cell>
          <cell r="DI2307" t="str">
            <v>)*4</v>
          </cell>
        </row>
        <row r="2308">
          <cell r="F2308" t="str">
            <v>5.3-1102-25-1/1</v>
          </cell>
          <cell r="G2308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    </cell>
          <cell r="H2308" t="str">
            <v>м3</v>
          </cell>
          <cell r="I2308">
            <v>3707.75</v>
          </cell>
          <cell r="Q2308">
            <v>1416916.66</v>
          </cell>
          <cell r="R2308">
            <v>684302.34</v>
          </cell>
          <cell r="S2308">
            <v>340111.91</v>
          </cell>
          <cell r="U2308">
            <v>1371.8675000000001</v>
          </cell>
          <cell r="X2308">
            <v>238078.34</v>
          </cell>
          <cell r="Y2308">
            <v>34011.19</v>
          </cell>
          <cell r="AE2308">
            <v>184.56</v>
          </cell>
          <cell r="AF2308">
            <v>91.73</v>
          </cell>
          <cell r="AM2308">
            <v>382.15</v>
          </cell>
          <cell r="AN2308">
            <v>184.56</v>
          </cell>
          <cell r="AO2308">
            <v>91.73</v>
          </cell>
          <cell r="AQ2308">
            <v>0.37</v>
          </cell>
          <cell r="AT2308">
            <v>70</v>
          </cell>
          <cell r="AU2308">
            <v>10</v>
          </cell>
          <cell r="AV2308">
            <v>1</v>
          </cell>
          <cell r="BA2308">
            <v>1</v>
          </cell>
          <cell r="BB2308">
            <v>1</v>
          </cell>
          <cell r="BS2308">
            <v>1</v>
          </cell>
          <cell r="BZ2308">
            <v>70</v>
          </cell>
          <cell r="CA2308">
            <v>10</v>
          </cell>
          <cell r="CS2308">
            <v>184.56</v>
          </cell>
          <cell r="DE2308" t="str">
            <v>)*1</v>
          </cell>
          <cell r="DF2308" t="str">
            <v>)*1</v>
          </cell>
          <cell r="DG2308" t="str">
            <v>)*1</v>
          </cell>
          <cell r="DI2308" t="str">
            <v>)*1</v>
          </cell>
        </row>
        <row r="2309">
          <cell r="F2309" t="str">
            <v>5.3-1102-25-2/1</v>
          </cell>
          <cell r="G2309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09" t="str">
            <v>м3</v>
          </cell>
          <cell r="I2309">
            <v>-3707.75</v>
          </cell>
          <cell r="Q2309">
            <v>-275077.96999999997</v>
          </cell>
          <cell r="R2309">
            <v>-132811.60999999999</v>
          </cell>
          <cell r="S2309">
            <v>-82756.98</v>
          </cell>
          <cell r="U2309">
            <v>-333.69749999999999</v>
          </cell>
          <cell r="X2309">
            <v>-57929.89</v>
          </cell>
          <cell r="Y2309">
            <v>-8275.7000000000007</v>
          </cell>
          <cell r="AE2309">
            <v>35.82</v>
          </cell>
          <cell r="AF2309">
            <v>22.32</v>
          </cell>
          <cell r="AM2309">
            <v>24.73</v>
          </cell>
          <cell r="AN2309">
            <v>11.94</v>
          </cell>
          <cell r="AO2309">
            <v>7.44</v>
          </cell>
          <cell r="AQ2309">
            <v>0.03</v>
          </cell>
          <cell r="AT2309">
            <v>70</v>
          </cell>
          <cell r="AU2309">
            <v>10</v>
          </cell>
          <cell r="AV2309">
            <v>1</v>
          </cell>
          <cell r="BA2309">
            <v>1</v>
          </cell>
          <cell r="BB2309">
            <v>1</v>
          </cell>
          <cell r="BS2309">
            <v>1</v>
          </cell>
          <cell r="BZ2309">
            <v>70</v>
          </cell>
          <cell r="CA2309">
            <v>10</v>
          </cell>
          <cell r="CS2309">
            <v>35.82</v>
          </cell>
          <cell r="DE2309" t="str">
            <v>)*3</v>
          </cell>
          <cell r="DF2309" t="str">
            <v>)*3</v>
          </cell>
          <cell r="DG2309" t="str">
            <v>)*3</v>
          </cell>
          <cell r="DI2309" t="str">
            <v>)*3</v>
          </cell>
        </row>
        <row r="2310">
          <cell r="F2310" t="str">
            <v>5.3-1102-25-1/1</v>
          </cell>
          <cell r="G2310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    </cell>
          <cell r="H2310" t="str">
            <v>м3</v>
          </cell>
          <cell r="I2310">
            <v>3707.75</v>
          </cell>
          <cell r="Q2310">
            <v>1416916.66</v>
          </cell>
          <cell r="R2310">
            <v>684302.34</v>
          </cell>
          <cell r="S2310">
            <v>340111.91</v>
          </cell>
          <cell r="U2310">
            <v>1371.8675000000001</v>
          </cell>
          <cell r="X2310">
            <v>238078.34</v>
          </cell>
          <cell r="Y2310">
            <v>34011.19</v>
          </cell>
          <cell r="AE2310">
            <v>184.56</v>
          </cell>
          <cell r="AF2310">
            <v>91.73</v>
          </cell>
          <cell r="AM2310">
            <v>382.15</v>
          </cell>
          <cell r="AN2310">
            <v>184.56</v>
          </cell>
          <cell r="AO2310">
            <v>91.73</v>
          </cell>
          <cell r="AQ2310">
            <v>0.37</v>
          </cell>
          <cell r="AT2310">
            <v>70</v>
          </cell>
          <cell r="AU2310">
            <v>10</v>
          </cell>
          <cell r="AV2310">
            <v>1</v>
          </cell>
          <cell r="BA2310">
            <v>1</v>
          </cell>
          <cell r="BB2310">
            <v>1</v>
          </cell>
          <cell r="BS2310">
            <v>1</v>
          </cell>
          <cell r="BZ2310">
            <v>70</v>
          </cell>
          <cell r="CA2310">
            <v>10</v>
          </cell>
          <cell r="CS2310">
            <v>184.56</v>
          </cell>
          <cell r="DE2310" t="str">
            <v>)*1</v>
          </cell>
          <cell r="DF2310" t="str">
            <v>)*1</v>
          </cell>
          <cell r="DG2310" t="str">
            <v>)*1</v>
          </cell>
          <cell r="DI2310" t="str">
            <v>)*1</v>
          </cell>
        </row>
        <row r="2311">
          <cell r="F2311" t="str">
            <v>5.3-1102-25-2/1</v>
          </cell>
          <cell r="G2311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11" t="str">
            <v>м3</v>
          </cell>
          <cell r="I2311">
            <v>-3707.75</v>
          </cell>
          <cell r="Q2311">
            <v>-183385.32</v>
          </cell>
          <cell r="R2311">
            <v>-88541.07</v>
          </cell>
          <cell r="S2311">
            <v>-55171.32</v>
          </cell>
          <cell r="U2311">
            <v>-222.465</v>
          </cell>
          <cell r="X2311">
            <v>-38619.919999999998</v>
          </cell>
          <cell r="Y2311">
            <v>-5517.13</v>
          </cell>
          <cell r="AE2311">
            <v>23.88</v>
          </cell>
          <cell r="AF2311">
            <v>14.88</v>
          </cell>
          <cell r="AM2311">
            <v>24.73</v>
          </cell>
          <cell r="AN2311">
            <v>11.94</v>
          </cell>
          <cell r="AO2311">
            <v>7.44</v>
          </cell>
          <cell r="AQ2311">
            <v>0.03</v>
          </cell>
          <cell r="AT2311">
            <v>70</v>
          </cell>
          <cell r="AU2311">
            <v>10</v>
          </cell>
          <cell r="AV2311">
            <v>1</v>
          </cell>
          <cell r="BA2311">
            <v>1</v>
          </cell>
          <cell r="BB2311">
            <v>1</v>
          </cell>
          <cell r="BS2311">
            <v>1</v>
          </cell>
          <cell r="BZ2311">
            <v>70</v>
          </cell>
          <cell r="CA2311">
            <v>10</v>
          </cell>
          <cell r="CS2311">
            <v>23.88</v>
          </cell>
          <cell r="DE2311" t="str">
            <v>)*2</v>
          </cell>
          <cell r="DF2311" t="str">
            <v>)*2</v>
          </cell>
          <cell r="DG2311" t="str">
            <v>)*2</v>
          </cell>
          <cell r="DI2311" t="str">
            <v>)*2</v>
          </cell>
        </row>
        <row r="2312">
          <cell r="F2312" t="str">
            <v>5.3-1102-25-1/1</v>
          </cell>
          <cell r="G2312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    </cell>
          <cell r="H2312" t="str">
            <v>м3</v>
          </cell>
          <cell r="I2312">
            <v>3707.75</v>
          </cell>
          <cell r="Q2312">
            <v>1416916.66</v>
          </cell>
          <cell r="R2312">
            <v>684302.34</v>
          </cell>
          <cell r="S2312">
            <v>340111.91</v>
          </cell>
          <cell r="U2312">
            <v>1371.8675000000001</v>
          </cell>
          <cell r="X2312">
            <v>238078.34</v>
          </cell>
          <cell r="Y2312">
            <v>34011.19</v>
          </cell>
          <cell r="AE2312">
            <v>184.56</v>
          </cell>
          <cell r="AF2312">
            <v>91.73</v>
          </cell>
          <cell r="AM2312">
            <v>382.15</v>
          </cell>
          <cell r="AN2312">
            <v>184.56</v>
          </cell>
          <cell r="AO2312">
            <v>91.73</v>
          </cell>
          <cell r="AQ2312">
            <v>0.37</v>
          </cell>
          <cell r="AT2312">
            <v>70</v>
          </cell>
          <cell r="AU2312">
            <v>10</v>
          </cell>
          <cell r="AV2312">
            <v>1</v>
          </cell>
          <cell r="BA2312">
            <v>1</v>
          </cell>
          <cell r="BB2312">
            <v>1</v>
          </cell>
          <cell r="BS2312">
            <v>1</v>
          </cell>
          <cell r="BZ2312">
            <v>70</v>
          </cell>
          <cell r="CA2312">
            <v>10</v>
          </cell>
          <cell r="CS2312">
            <v>184.56</v>
          </cell>
          <cell r="DE2312" t="str">
            <v>)*1</v>
          </cell>
          <cell r="DF2312" t="str">
            <v>)*1</v>
          </cell>
          <cell r="DG2312" t="str">
            <v>)*1</v>
          </cell>
          <cell r="DI2312" t="str">
            <v>)*1</v>
          </cell>
        </row>
        <row r="2313">
          <cell r="F2313" t="str">
            <v>5.3-1102-25-2/1</v>
          </cell>
          <cell r="G2313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13" t="str">
            <v>м3</v>
          </cell>
          <cell r="I2313">
            <v>-3707.75</v>
          </cell>
          <cell r="Q2313">
            <v>-91692.66</v>
          </cell>
          <cell r="R2313">
            <v>-44270.54</v>
          </cell>
          <cell r="S2313">
            <v>-27585.66</v>
          </cell>
          <cell r="U2313">
            <v>-111.2325</v>
          </cell>
          <cell r="X2313">
            <v>-19309.96</v>
          </cell>
          <cell r="Y2313">
            <v>-2758.57</v>
          </cell>
          <cell r="AE2313">
            <v>11.94</v>
          </cell>
          <cell r="AF2313">
            <v>7.44</v>
          </cell>
          <cell r="AM2313">
            <v>24.73</v>
          </cell>
          <cell r="AN2313">
            <v>11.94</v>
          </cell>
          <cell r="AO2313">
            <v>7.44</v>
          </cell>
          <cell r="AQ2313">
            <v>0.03</v>
          </cell>
          <cell r="AT2313">
            <v>70</v>
          </cell>
          <cell r="AU2313">
            <v>10</v>
          </cell>
          <cell r="AV2313">
            <v>1</v>
          </cell>
          <cell r="BA2313">
            <v>1</v>
          </cell>
          <cell r="BB2313">
            <v>1</v>
          </cell>
          <cell r="BS2313">
            <v>1</v>
          </cell>
          <cell r="BZ2313">
            <v>70</v>
          </cell>
          <cell r="CA2313">
            <v>10</v>
          </cell>
          <cell r="CS2313">
            <v>11.94</v>
          </cell>
          <cell r="DE2313" t="str">
            <v>)*1</v>
          </cell>
          <cell r="DF2313" t="str">
            <v>)*1</v>
          </cell>
          <cell r="DG2313" t="str">
            <v>)*1</v>
          </cell>
          <cell r="DI2313" t="str">
            <v>)*1</v>
          </cell>
        </row>
        <row r="2315">
          <cell r="G2315" t="str">
            <v>Сбор и перемещение снега и скола к месту временного размещения( 2024г.)</v>
          </cell>
        </row>
        <row r="2345">
          <cell r="G2345" t="str">
            <v>Сбор и перемещение снега и скола к месту временного размещения( 2025г.)</v>
          </cell>
        </row>
        <row r="2349">
          <cell r="F2349" t="str">
            <v>5.3-1102-25-1/1</v>
          </cell>
          <cell r="G2349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    </cell>
          <cell r="H2349" t="str">
            <v>м3</v>
          </cell>
          <cell r="I2349">
            <v>7638</v>
          </cell>
          <cell r="Q2349">
            <v>2918861.7</v>
          </cell>
          <cell r="R2349">
            <v>1409669.28</v>
          </cell>
          <cell r="S2349">
            <v>700633.74</v>
          </cell>
          <cell r="U2349">
            <v>2826.06</v>
          </cell>
          <cell r="X2349">
            <v>490443.62</v>
          </cell>
          <cell r="Y2349">
            <v>70063.37</v>
          </cell>
          <cell r="AE2349">
            <v>184.56</v>
          </cell>
          <cell r="AF2349">
            <v>91.73</v>
          </cell>
          <cell r="AM2349">
            <v>382.15</v>
          </cell>
          <cell r="AN2349">
            <v>184.56</v>
          </cell>
          <cell r="AO2349">
            <v>91.73</v>
          </cell>
          <cell r="AQ2349">
            <v>0.37</v>
          </cell>
          <cell r="AT2349">
            <v>70</v>
          </cell>
          <cell r="AU2349">
            <v>10</v>
          </cell>
          <cell r="AV2349">
            <v>1</v>
          </cell>
          <cell r="BA2349">
            <v>1</v>
          </cell>
          <cell r="BB2349">
            <v>1</v>
          </cell>
          <cell r="BS2349">
            <v>1</v>
          </cell>
          <cell r="BZ2349">
            <v>70</v>
          </cell>
          <cell r="CA2349">
            <v>10</v>
          </cell>
          <cell r="CS2349">
            <v>184.56</v>
          </cell>
          <cell r="DE2349" t="str">
            <v>)*1</v>
          </cell>
          <cell r="DF2349" t="str">
            <v>)*1</v>
          </cell>
          <cell r="DG2349" t="str">
            <v>)*1</v>
          </cell>
          <cell r="DI2349" t="str">
            <v>)*1</v>
          </cell>
        </row>
        <row r="2350">
          <cell r="F2350" t="str">
            <v>5.3-1102-25-2/1</v>
          </cell>
          <cell r="G2350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50" t="str">
            <v>м3</v>
          </cell>
          <cell r="I2350">
            <v>-7638</v>
          </cell>
          <cell r="Q2350">
            <v>-755550.96</v>
          </cell>
          <cell r="R2350">
            <v>-364790.88</v>
          </cell>
          <cell r="S2350">
            <v>-227306.88</v>
          </cell>
          <cell r="U2350">
            <v>-916.56</v>
          </cell>
          <cell r="X2350">
            <v>-159114.82</v>
          </cell>
          <cell r="Y2350">
            <v>-22730.69</v>
          </cell>
          <cell r="AE2350">
            <v>47.76</v>
          </cell>
          <cell r="AF2350">
            <v>29.76</v>
          </cell>
          <cell r="AM2350">
            <v>24.73</v>
          </cell>
          <cell r="AN2350">
            <v>11.94</v>
          </cell>
          <cell r="AO2350">
            <v>7.44</v>
          </cell>
          <cell r="AQ2350">
            <v>0.03</v>
          </cell>
          <cell r="AT2350">
            <v>70</v>
          </cell>
          <cell r="AU2350">
            <v>10</v>
          </cell>
          <cell r="AV2350">
            <v>1</v>
          </cell>
          <cell r="BA2350">
            <v>1</v>
          </cell>
          <cell r="BB2350">
            <v>1</v>
          </cell>
          <cell r="BS2350">
            <v>1</v>
          </cell>
          <cell r="BZ2350">
            <v>70</v>
          </cell>
          <cell r="CA2350">
            <v>10</v>
          </cell>
          <cell r="CS2350">
            <v>47.76</v>
          </cell>
          <cell r="DE2350" t="str">
            <v>)*4</v>
          </cell>
          <cell r="DF2350" t="str">
            <v>)*4</v>
          </cell>
          <cell r="DG2350" t="str">
            <v>)*4</v>
          </cell>
          <cell r="DI2350" t="str">
            <v>)*4</v>
          </cell>
        </row>
        <row r="2351">
          <cell r="F2351" t="str">
            <v>5.3-1102-25-1/1</v>
          </cell>
          <cell r="G2351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    </cell>
          <cell r="H2351" t="str">
            <v>м3</v>
          </cell>
          <cell r="I2351">
            <v>7638</v>
          </cell>
          <cell r="Q2351">
            <v>2918861.7</v>
          </cell>
          <cell r="R2351">
            <v>1409669.28</v>
          </cell>
          <cell r="S2351">
            <v>700633.74</v>
          </cell>
          <cell r="U2351">
            <v>2826.06</v>
          </cell>
          <cell r="X2351">
            <v>490443.62</v>
          </cell>
          <cell r="Y2351">
            <v>70063.37</v>
          </cell>
          <cell r="AE2351">
            <v>184.56</v>
          </cell>
          <cell r="AF2351">
            <v>91.73</v>
          </cell>
          <cell r="AM2351">
            <v>382.15</v>
          </cell>
          <cell r="AN2351">
            <v>184.56</v>
          </cell>
          <cell r="AO2351">
            <v>91.73</v>
          </cell>
          <cell r="AQ2351">
            <v>0.37</v>
          </cell>
          <cell r="AT2351">
            <v>70</v>
          </cell>
          <cell r="AU2351">
            <v>10</v>
          </cell>
          <cell r="AV2351">
            <v>1</v>
          </cell>
          <cell r="BA2351">
            <v>1</v>
          </cell>
          <cell r="BB2351">
            <v>1</v>
          </cell>
          <cell r="BS2351">
            <v>1</v>
          </cell>
          <cell r="BZ2351">
            <v>70</v>
          </cell>
          <cell r="CA2351">
            <v>10</v>
          </cell>
          <cell r="CS2351">
            <v>184.56</v>
          </cell>
          <cell r="DE2351" t="str">
            <v>)*1</v>
          </cell>
          <cell r="DF2351" t="str">
            <v>)*1</v>
          </cell>
          <cell r="DG2351" t="str">
            <v>)*1</v>
          </cell>
          <cell r="DI2351" t="str">
            <v>)*1</v>
          </cell>
        </row>
        <row r="2352">
          <cell r="F2352" t="str">
            <v>5.3-1102-25-2/1</v>
          </cell>
          <cell r="G2352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52" t="str">
            <v>м3</v>
          </cell>
          <cell r="I2352">
            <v>-7638</v>
          </cell>
          <cell r="Q2352">
            <v>-566663.22</v>
          </cell>
          <cell r="R2352">
            <v>-273593.15999999997</v>
          </cell>
          <cell r="S2352">
            <v>-170480.16</v>
          </cell>
          <cell r="U2352">
            <v>-687.42</v>
          </cell>
          <cell r="X2352">
            <v>-119336.11</v>
          </cell>
          <cell r="Y2352">
            <v>-17048.02</v>
          </cell>
          <cell r="AE2352">
            <v>35.82</v>
          </cell>
          <cell r="AF2352">
            <v>22.32</v>
          </cell>
          <cell r="AM2352">
            <v>24.73</v>
          </cell>
          <cell r="AN2352">
            <v>11.94</v>
          </cell>
          <cell r="AO2352">
            <v>7.44</v>
          </cell>
          <cell r="AQ2352">
            <v>0.03</v>
          </cell>
          <cell r="AT2352">
            <v>70</v>
          </cell>
          <cell r="AU2352">
            <v>10</v>
          </cell>
          <cell r="AV2352">
            <v>1</v>
          </cell>
          <cell r="BA2352">
            <v>1</v>
          </cell>
          <cell r="BB2352">
            <v>1</v>
          </cell>
          <cell r="BS2352">
            <v>1</v>
          </cell>
          <cell r="BZ2352">
            <v>70</v>
          </cell>
          <cell r="CA2352">
            <v>10</v>
          </cell>
          <cell r="CS2352">
            <v>35.82</v>
          </cell>
          <cell r="DE2352" t="str">
            <v>)*3</v>
          </cell>
          <cell r="DF2352" t="str">
            <v>)*3</v>
          </cell>
          <cell r="DG2352" t="str">
            <v>)*3</v>
          </cell>
          <cell r="DI2352" t="str">
            <v>)*3</v>
          </cell>
        </row>
        <row r="2353">
          <cell r="F2353" t="str">
            <v>5.3-1102-25-1/1</v>
          </cell>
          <cell r="G2353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    </cell>
          <cell r="H2353" t="str">
            <v>м3</v>
          </cell>
          <cell r="I2353">
            <v>7638</v>
          </cell>
          <cell r="Q2353">
            <v>2918861.7</v>
          </cell>
          <cell r="R2353">
            <v>1409669.28</v>
          </cell>
          <cell r="S2353">
            <v>700633.74</v>
          </cell>
          <cell r="U2353">
            <v>2826.06</v>
          </cell>
          <cell r="X2353">
            <v>490443.62</v>
          </cell>
          <cell r="Y2353">
            <v>70063.37</v>
          </cell>
          <cell r="AE2353">
            <v>184.56</v>
          </cell>
          <cell r="AF2353">
            <v>91.73</v>
          </cell>
          <cell r="AM2353">
            <v>382.15</v>
          </cell>
          <cell r="AN2353">
            <v>184.56</v>
          </cell>
          <cell r="AO2353">
            <v>91.73</v>
          </cell>
          <cell r="AQ2353">
            <v>0.37</v>
          </cell>
          <cell r="AT2353">
            <v>70</v>
          </cell>
          <cell r="AU2353">
            <v>10</v>
          </cell>
          <cell r="AV2353">
            <v>1</v>
          </cell>
          <cell r="BA2353">
            <v>1</v>
          </cell>
          <cell r="BB2353">
            <v>1</v>
          </cell>
          <cell r="BS2353">
            <v>1</v>
          </cell>
          <cell r="BZ2353">
            <v>70</v>
          </cell>
          <cell r="CA2353">
            <v>10</v>
          </cell>
          <cell r="CS2353">
            <v>184.56</v>
          </cell>
          <cell r="DE2353" t="str">
            <v>)*1</v>
          </cell>
          <cell r="DF2353" t="str">
            <v>)*1</v>
          </cell>
          <cell r="DG2353" t="str">
            <v>)*1</v>
          </cell>
          <cell r="DI2353" t="str">
            <v>)*1</v>
          </cell>
        </row>
        <row r="2354">
          <cell r="F2354" t="str">
            <v>5.3-1102-25-2/1</v>
          </cell>
          <cell r="G2354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54" t="str">
            <v>м3</v>
          </cell>
          <cell r="I2354">
            <v>-7638</v>
          </cell>
          <cell r="Q2354">
            <v>-377775.48</v>
          </cell>
          <cell r="R2354">
            <v>-182395.44</v>
          </cell>
          <cell r="S2354">
            <v>-113653.44</v>
          </cell>
          <cell r="U2354">
            <v>-458.28</v>
          </cell>
          <cell r="X2354">
            <v>-79557.41</v>
          </cell>
          <cell r="Y2354">
            <v>-11365.34</v>
          </cell>
          <cell r="AE2354">
            <v>23.88</v>
          </cell>
          <cell r="AF2354">
            <v>14.88</v>
          </cell>
          <cell r="AM2354">
            <v>24.73</v>
          </cell>
          <cell r="AN2354">
            <v>11.94</v>
          </cell>
          <cell r="AO2354">
            <v>7.44</v>
          </cell>
          <cell r="AQ2354">
            <v>0.03</v>
          </cell>
          <cell r="AT2354">
            <v>70</v>
          </cell>
          <cell r="AU2354">
            <v>10</v>
          </cell>
          <cell r="AV2354">
            <v>1</v>
          </cell>
          <cell r="BA2354">
            <v>1</v>
          </cell>
          <cell r="BB2354">
            <v>1</v>
          </cell>
          <cell r="BS2354">
            <v>1</v>
          </cell>
          <cell r="BZ2354">
            <v>70</v>
          </cell>
          <cell r="CA2354">
            <v>10</v>
          </cell>
          <cell r="CS2354">
            <v>23.88</v>
          </cell>
          <cell r="DE2354" t="str">
            <v>)*2</v>
          </cell>
          <cell r="DF2354" t="str">
            <v>)*2</v>
          </cell>
          <cell r="DG2354" t="str">
            <v>)*2</v>
          </cell>
          <cell r="DI2354" t="str">
            <v>)*2</v>
          </cell>
        </row>
        <row r="2355">
          <cell r="F2355" t="str">
            <v>5.3-1102-25-1/1</v>
          </cell>
          <cell r="G2355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    </cell>
          <cell r="H2355" t="str">
            <v>м3</v>
          </cell>
          <cell r="I2355">
            <v>7638</v>
          </cell>
          <cell r="Q2355">
            <v>2918861.7</v>
          </cell>
          <cell r="R2355">
            <v>1409669.28</v>
          </cell>
          <cell r="S2355">
            <v>700633.74</v>
          </cell>
          <cell r="U2355">
            <v>2826.06</v>
          </cell>
          <cell r="X2355">
            <v>490443.62</v>
          </cell>
          <cell r="Y2355">
            <v>70063.37</v>
          </cell>
          <cell r="AE2355">
            <v>184.56</v>
          </cell>
          <cell r="AF2355">
            <v>91.73</v>
          </cell>
          <cell r="AM2355">
            <v>382.15</v>
          </cell>
          <cell r="AN2355">
            <v>184.56</v>
          </cell>
          <cell r="AO2355">
            <v>91.73</v>
          </cell>
          <cell r="AQ2355">
            <v>0.37</v>
          </cell>
          <cell r="AT2355">
            <v>70</v>
          </cell>
          <cell r="AU2355">
            <v>10</v>
          </cell>
          <cell r="AV2355">
            <v>1</v>
          </cell>
          <cell r="BA2355">
            <v>1</v>
          </cell>
          <cell r="BB2355">
            <v>1</v>
          </cell>
          <cell r="BS2355">
            <v>1</v>
          </cell>
          <cell r="BZ2355">
            <v>70</v>
          </cell>
          <cell r="CA2355">
            <v>10</v>
          </cell>
          <cell r="CS2355">
            <v>184.56</v>
          </cell>
          <cell r="DE2355" t="str">
            <v>)*1</v>
          </cell>
          <cell r="DF2355" t="str">
            <v>)*1</v>
          </cell>
          <cell r="DG2355" t="str">
            <v>)*1</v>
          </cell>
          <cell r="DI2355" t="str">
            <v>)*1</v>
          </cell>
        </row>
        <row r="2356">
          <cell r="F2356" t="str">
            <v>5.3-1102-25-2/1</v>
          </cell>
          <cell r="G2356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56" t="str">
            <v>м3</v>
          </cell>
          <cell r="I2356">
            <v>-7638</v>
          </cell>
          <cell r="Q2356">
            <v>-188887.74</v>
          </cell>
          <cell r="R2356">
            <v>-91197.72</v>
          </cell>
          <cell r="S2356">
            <v>-56826.720000000001</v>
          </cell>
          <cell r="U2356">
            <v>-229.14</v>
          </cell>
          <cell r="X2356">
            <v>-39778.699999999997</v>
          </cell>
          <cell r="Y2356">
            <v>-5682.67</v>
          </cell>
          <cell r="AE2356">
            <v>11.94</v>
          </cell>
          <cell r="AF2356">
            <v>7.44</v>
          </cell>
          <cell r="AM2356">
            <v>24.73</v>
          </cell>
          <cell r="AN2356">
            <v>11.94</v>
          </cell>
          <cell r="AO2356">
            <v>7.44</v>
          </cell>
          <cell r="AQ2356">
            <v>0.03</v>
          </cell>
          <cell r="AT2356">
            <v>70</v>
          </cell>
          <cell r="AU2356">
            <v>10</v>
          </cell>
          <cell r="AV2356">
            <v>1</v>
          </cell>
          <cell r="BA2356">
            <v>1</v>
          </cell>
          <cell r="BB2356">
            <v>1</v>
          </cell>
          <cell r="BS2356">
            <v>1</v>
          </cell>
          <cell r="BZ2356">
            <v>70</v>
          </cell>
          <cell r="CA2356">
            <v>10</v>
          </cell>
          <cell r="CS2356">
            <v>11.94</v>
          </cell>
          <cell r="DE2356" t="str">
            <v>)*1</v>
          </cell>
          <cell r="DF2356" t="str">
            <v>)*1</v>
          </cell>
          <cell r="DG2356" t="str">
            <v>)*1</v>
          </cell>
          <cell r="DI2356" t="str">
            <v>)*1</v>
          </cell>
        </row>
        <row r="2358">
          <cell r="G2358" t="str">
            <v>Сбор и перемещение снега и скола к месту временного размещения( 2025г.)</v>
          </cell>
        </row>
        <row r="2388">
          <cell r="G2388" t="str">
            <v>Сбор и перемещение снега и скола к месту временного размещения( 2026г.)</v>
          </cell>
        </row>
        <row r="2392">
          <cell r="F2392" t="str">
            <v>5.3-1102-25-1/1</v>
          </cell>
          <cell r="G2392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    </cell>
          <cell r="H2392" t="str">
            <v>м3</v>
          </cell>
          <cell r="I2392">
            <v>3935.25</v>
          </cell>
          <cell r="Q2392">
            <v>1503855.79</v>
          </cell>
          <cell r="R2392">
            <v>726289.74</v>
          </cell>
          <cell r="S2392">
            <v>360980.47999999998</v>
          </cell>
          <cell r="U2392">
            <v>1456.0425</v>
          </cell>
          <cell r="X2392">
            <v>252686.34</v>
          </cell>
          <cell r="Y2392">
            <v>36098.050000000003</v>
          </cell>
          <cell r="AE2392">
            <v>184.56</v>
          </cell>
          <cell r="AF2392">
            <v>91.73</v>
          </cell>
          <cell r="AM2392">
            <v>382.15</v>
          </cell>
          <cell r="AN2392">
            <v>184.56</v>
          </cell>
          <cell r="AO2392">
            <v>91.73</v>
          </cell>
          <cell r="AQ2392">
            <v>0.37</v>
          </cell>
          <cell r="AT2392">
            <v>70</v>
          </cell>
          <cell r="AU2392">
            <v>10</v>
          </cell>
          <cell r="AV2392">
            <v>1</v>
          </cell>
          <cell r="BA2392">
            <v>1</v>
          </cell>
          <cell r="BB2392">
            <v>1</v>
          </cell>
          <cell r="BS2392">
            <v>1</v>
          </cell>
          <cell r="BZ2392">
            <v>70</v>
          </cell>
          <cell r="CA2392">
            <v>10</v>
          </cell>
          <cell r="CS2392">
            <v>184.56</v>
          </cell>
          <cell r="DE2392" t="str">
            <v>)*1</v>
          </cell>
          <cell r="DF2392" t="str">
            <v>)*1</v>
          </cell>
          <cell r="DG2392" t="str">
            <v>)*1</v>
          </cell>
          <cell r="DI2392" t="str">
            <v>)*1</v>
          </cell>
        </row>
        <row r="2393">
          <cell r="F2393" t="str">
            <v>5.3-1102-25-2/1</v>
          </cell>
          <cell r="G2393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93" t="str">
            <v>м3</v>
          </cell>
          <cell r="I2393">
            <v>-3935.25</v>
          </cell>
          <cell r="Q2393">
            <v>-389274.93</v>
          </cell>
          <cell r="R2393">
            <v>-187947.54</v>
          </cell>
          <cell r="S2393">
            <v>-117113.04</v>
          </cell>
          <cell r="U2393">
            <v>-472.22999999999996</v>
          </cell>
          <cell r="X2393">
            <v>-81979.13</v>
          </cell>
          <cell r="Y2393">
            <v>-11711.3</v>
          </cell>
          <cell r="AE2393">
            <v>47.76</v>
          </cell>
          <cell r="AF2393">
            <v>29.76</v>
          </cell>
          <cell r="AM2393">
            <v>24.73</v>
          </cell>
          <cell r="AN2393">
            <v>11.94</v>
          </cell>
          <cell r="AO2393">
            <v>7.44</v>
          </cell>
          <cell r="AQ2393">
            <v>0.03</v>
          </cell>
          <cell r="AT2393">
            <v>70</v>
          </cell>
          <cell r="AU2393">
            <v>10</v>
          </cell>
          <cell r="AV2393">
            <v>1</v>
          </cell>
          <cell r="BA2393">
            <v>1</v>
          </cell>
          <cell r="BB2393">
            <v>1</v>
          </cell>
          <cell r="BS2393">
            <v>1</v>
          </cell>
          <cell r="BZ2393">
            <v>70</v>
          </cell>
          <cell r="CA2393">
            <v>10</v>
          </cell>
          <cell r="CS2393">
            <v>47.76</v>
          </cell>
          <cell r="DE2393" t="str">
            <v>)*4</v>
          </cell>
          <cell r="DF2393" t="str">
            <v>)*4</v>
          </cell>
          <cell r="DG2393" t="str">
            <v>)*4</v>
          </cell>
          <cell r="DI2393" t="str">
            <v>)*4</v>
          </cell>
        </row>
        <row r="2394">
          <cell r="F2394" t="str">
            <v>5.3-1102-25-1/1</v>
          </cell>
          <cell r="G2394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    </cell>
          <cell r="H2394" t="str">
            <v>м3</v>
          </cell>
          <cell r="I2394">
            <v>3935.25</v>
          </cell>
          <cell r="Q2394">
            <v>1503855.79</v>
          </cell>
          <cell r="R2394">
            <v>726289.74</v>
          </cell>
          <cell r="S2394">
            <v>360980.47999999998</v>
          </cell>
          <cell r="U2394">
            <v>1456.0425</v>
          </cell>
          <cell r="X2394">
            <v>252686.34</v>
          </cell>
          <cell r="Y2394">
            <v>36098.050000000003</v>
          </cell>
          <cell r="AE2394">
            <v>184.56</v>
          </cell>
          <cell r="AF2394">
            <v>91.73</v>
          </cell>
          <cell r="AM2394">
            <v>382.15</v>
          </cell>
          <cell r="AN2394">
            <v>184.56</v>
          </cell>
          <cell r="AO2394">
            <v>91.73</v>
          </cell>
          <cell r="AQ2394">
            <v>0.37</v>
          </cell>
          <cell r="AT2394">
            <v>70</v>
          </cell>
          <cell r="AU2394">
            <v>10</v>
          </cell>
          <cell r="AV2394">
            <v>1</v>
          </cell>
          <cell r="BA2394">
            <v>1</v>
          </cell>
          <cell r="BB2394">
            <v>1</v>
          </cell>
          <cell r="BS2394">
            <v>1</v>
          </cell>
          <cell r="BZ2394">
            <v>70</v>
          </cell>
          <cell r="CA2394">
            <v>10</v>
          </cell>
          <cell r="CS2394">
            <v>184.56</v>
          </cell>
          <cell r="DE2394" t="str">
            <v>)*1</v>
          </cell>
          <cell r="DF2394" t="str">
            <v>)*1</v>
          </cell>
          <cell r="DG2394" t="str">
            <v>)*1</v>
          </cell>
          <cell r="DI2394" t="str">
            <v>)*1</v>
          </cell>
        </row>
        <row r="2395">
          <cell r="F2395" t="str">
            <v>5.3-1102-25-2/1</v>
          </cell>
          <cell r="G2395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95" t="str">
            <v>м3</v>
          </cell>
          <cell r="I2395">
            <v>-3935.25</v>
          </cell>
          <cell r="Q2395">
            <v>-291956.2</v>
          </cell>
          <cell r="R2395">
            <v>-140960.66</v>
          </cell>
          <cell r="S2395">
            <v>-87834.78</v>
          </cell>
          <cell r="U2395">
            <v>-354.17250000000001</v>
          </cell>
          <cell r="X2395">
            <v>-61484.35</v>
          </cell>
          <cell r="Y2395">
            <v>-8783.48</v>
          </cell>
          <cell r="AE2395">
            <v>35.82</v>
          </cell>
          <cell r="AF2395">
            <v>22.32</v>
          </cell>
          <cell r="AM2395">
            <v>24.73</v>
          </cell>
          <cell r="AN2395">
            <v>11.94</v>
          </cell>
          <cell r="AO2395">
            <v>7.44</v>
          </cell>
          <cell r="AQ2395">
            <v>0.03</v>
          </cell>
          <cell r="AT2395">
            <v>70</v>
          </cell>
          <cell r="AU2395">
            <v>10</v>
          </cell>
          <cell r="AV2395">
            <v>1</v>
          </cell>
          <cell r="BA2395">
            <v>1</v>
          </cell>
          <cell r="BB2395">
            <v>1</v>
          </cell>
          <cell r="BS2395">
            <v>1</v>
          </cell>
          <cell r="BZ2395">
            <v>70</v>
          </cell>
          <cell r="CA2395">
            <v>10</v>
          </cell>
          <cell r="CS2395">
            <v>35.82</v>
          </cell>
          <cell r="DE2395" t="str">
            <v>)*3</v>
          </cell>
          <cell r="DF2395" t="str">
            <v>)*3</v>
          </cell>
          <cell r="DG2395" t="str">
            <v>)*3</v>
          </cell>
          <cell r="DI2395" t="str">
            <v>)*3</v>
          </cell>
        </row>
        <row r="2396">
          <cell r="F2396" t="str">
            <v>5.3-1102-25-1/1</v>
          </cell>
          <cell r="G2396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    </cell>
          <cell r="H2396" t="str">
            <v>м3</v>
          </cell>
          <cell r="I2396">
            <v>3935.25</v>
          </cell>
          <cell r="Q2396">
            <v>1503855.79</v>
          </cell>
          <cell r="R2396">
            <v>726289.74</v>
          </cell>
          <cell r="S2396">
            <v>360980.47999999998</v>
          </cell>
          <cell r="U2396">
            <v>1456.0425</v>
          </cell>
          <cell r="X2396">
            <v>252686.34</v>
          </cell>
          <cell r="Y2396">
            <v>36098.050000000003</v>
          </cell>
          <cell r="AE2396">
            <v>184.56</v>
          </cell>
          <cell r="AF2396">
            <v>91.73</v>
          </cell>
          <cell r="AM2396">
            <v>382.15</v>
          </cell>
          <cell r="AN2396">
            <v>184.56</v>
          </cell>
          <cell r="AO2396">
            <v>91.73</v>
          </cell>
          <cell r="AQ2396">
            <v>0.37</v>
          </cell>
          <cell r="AT2396">
            <v>70</v>
          </cell>
          <cell r="AU2396">
            <v>10</v>
          </cell>
          <cell r="AV2396">
            <v>1</v>
          </cell>
          <cell r="BA2396">
            <v>1</v>
          </cell>
          <cell r="BB2396">
            <v>1</v>
          </cell>
          <cell r="BS2396">
            <v>1</v>
          </cell>
          <cell r="BZ2396">
            <v>70</v>
          </cell>
          <cell r="CA2396">
            <v>10</v>
          </cell>
          <cell r="CS2396">
            <v>184.56</v>
          </cell>
          <cell r="DE2396" t="str">
            <v>)*1</v>
          </cell>
          <cell r="DF2396" t="str">
            <v>)*1</v>
          </cell>
          <cell r="DG2396" t="str">
            <v>)*1</v>
          </cell>
          <cell r="DI2396" t="str">
            <v>)*1</v>
          </cell>
        </row>
        <row r="2397">
          <cell r="F2397" t="str">
            <v>5.3-1102-25-2/1</v>
          </cell>
          <cell r="G2397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97" t="str">
            <v>м3</v>
          </cell>
          <cell r="I2397">
            <v>-3935.25</v>
          </cell>
          <cell r="Q2397">
            <v>-194637.47</v>
          </cell>
          <cell r="R2397">
            <v>-93973.77</v>
          </cell>
          <cell r="S2397">
            <v>-58556.52</v>
          </cell>
          <cell r="U2397">
            <v>-236.11499999999998</v>
          </cell>
          <cell r="X2397">
            <v>-40989.56</v>
          </cell>
          <cell r="Y2397">
            <v>-5855.65</v>
          </cell>
          <cell r="AE2397">
            <v>23.88</v>
          </cell>
          <cell r="AF2397">
            <v>14.88</v>
          </cell>
          <cell r="AM2397">
            <v>24.73</v>
          </cell>
          <cell r="AN2397">
            <v>11.94</v>
          </cell>
          <cell r="AO2397">
            <v>7.44</v>
          </cell>
          <cell r="AQ2397">
            <v>0.03</v>
          </cell>
          <cell r="AT2397">
            <v>70</v>
          </cell>
          <cell r="AU2397">
            <v>10</v>
          </cell>
          <cell r="AV2397">
            <v>1</v>
          </cell>
          <cell r="BA2397">
            <v>1</v>
          </cell>
          <cell r="BB2397">
            <v>1</v>
          </cell>
          <cell r="BS2397">
            <v>1</v>
          </cell>
          <cell r="BZ2397">
            <v>70</v>
          </cell>
          <cell r="CA2397">
            <v>10</v>
          </cell>
          <cell r="CS2397">
            <v>23.88</v>
          </cell>
          <cell r="DE2397" t="str">
            <v>)*2</v>
          </cell>
          <cell r="DF2397" t="str">
            <v>)*2</v>
          </cell>
          <cell r="DG2397" t="str">
            <v>)*2</v>
          </cell>
          <cell r="DI2397" t="str">
            <v>)*2</v>
          </cell>
        </row>
        <row r="2398">
          <cell r="F2398" t="str">
            <v>5.3-1102-25-1/1</v>
          </cell>
          <cell r="G2398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    </cell>
          <cell r="H2398" t="str">
            <v>м3</v>
          </cell>
          <cell r="I2398">
            <v>3935.25</v>
          </cell>
          <cell r="Q2398">
            <v>1503855.79</v>
          </cell>
          <cell r="R2398">
            <v>726289.74</v>
          </cell>
          <cell r="S2398">
            <v>360980.47999999998</v>
          </cell>
          <cell r="U2398">
            <v>1456.0425</v>
          </cell>
          <cell r="X2398">
            <v>252686.34</v>
          </cell>
          <cell r="Y2398">
            <v>36098.050000000003</v>
          </cell>
          <cell r="AE2398">
            <v>184.56</v>
          </cell>
          <cell r="AF2398">
            <v>91.73</v>
          </cell>
          <cell r="AM2398">
            <v>382.15</v>
          </cell>
          <cell r="AN2398">
            <v>184.56</v>
          </cell>
          <cell r="AO2398">
            <v>91.73</v>
          </cell>
          <cell r="AQ2398">
            <v>0.37</v>
          </cell>
          <cell r="AT2398">
            <v>70</v>
          </cell>
          <cell r="AU2398">
            <v>10</v>
          </cell>
          <cell r="AV2398">
            <v>1</v>
          </cell>
          <cell r="BA2398">
            <v>1</v>
          </cell>
          <cell r="BB2398">
            <v>1</v>
          </cell>
          <cell r="BS2398">
            <v>1</v>
          </cell>
          <cell r="BZ2398">
            <v>70</v>
          </cell>
          <cell r="CA2398">
            <v>10</v>
          </cell>
          <cell r="CS2398">
            <v>184.56</v>
          </cell>
          <cell r="DE2398" t="str">
            <v>)*1</v>
          </cell>
          <cell r="DF2398" t="str">
            <v>)*1</v>
          </cell>
          <cell r="DG2398" t="str">
            <v>)*1</v>
          </cell>
          <cell r="DI2398" t="str">
            <v>)*1</v>
          </cell>
        </row>
        <row r="2399">
          <cell r="F2399" t="str">
            <v>5.3-1102-25-2/1</v>
          </cell>
          <cell r="G2399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2399" t="str">
            <v>м3</v>
          </cell>
          <cell r="I2399">
            <v>-3935.25</v>
          </cell>
          <cell r="Q2399">
            <v>-97318.73</v>
          </cell>
          <cell r="R2399">
            <v>-46986.89</v>
          </cell>
          <cell r="S2399">
            <v>-29278.26</v>
          </cell>
          <cell r="U2399">
            <v>-118.05749999999999</v>
          </cell>
          <cell r="X2399">
            <v>-20494.78</v>
          </cell>
          <cell r="Y2399">
            <v>-2927.83</v>
          </cell>
          <cell r="AE2399">
            <v>11.94</v>
          </cell>
          <cell r="AF2399">
            <v>7.44</v>
          </cell>
          <cell r="AM2399">
            <v>24.73</v>
          </cell>
          <cell r="AN2399">
            <v>11.94</v>
          </cell>
          <cell r="AO2399">
            <v>7.44</v>
          </cell>
          <cell r="AQ2399">
            <v>0.03</v>
          </cell>
          <cell r="AT2399">
            <v>70</v>
          </cell>
          <cell r="AU2399">
            <v>10</v>
          </cell>
          <cell r="AV2399">
            <v>1</v>
          </cell>
          <cell r="BA2399">
            <v>1</v>
          </cell>
          <cell r="BB2399">
            <v>1</v>
          </cell>
          <cell r="BS2399">
            <v>1</v>
          </cell>
          <cell r="BZ2399">
            <v>70</v>
          </cell>
          <cell r="CA2399">
            <v>10</v>
          </cell>
          <cell r="CS2399">
            <v>11.94</v>
          </cell>
          <cell r="DE2399" t="str">
            <v>)*1</v>
          </cell>
          <cell r="DF2399" t="str">
            <v>)*1</v>
          </cell>
          <cell r="DG2399" t="str">
            <v>)*1</v>
          </cell>
          <cell r="DI2399" t="str">
            <v>)*1</v>
          </cell>
        </row>
        <row r="2401">
          <cell r="G2401" t="str">
            <v>Сбор и перемещение снега и скола к месту временного размещения( 2026г.)</v>
          </cell>
        </row>
        <row r="2431">
          <cell r="G2431" t="str">
            <v>Зимняя уборка территории</v>
          </cell>
        </row>
        <row r="2461">
          <cell r="G2461" t="str">
            <v>Летняя уборка территории</v>
          </cell>
        </row>
        <row r="2465">
          <cell r="G2465" t="str">
            <v>Содержание   садово-парковых дорожек с мощением, рассчитанным на нагрузку 16т\ось ( 7142 м2)</v>
          </cell>
        </row>
        <row r="2469">
          <cell r="F2469" t="str">
            <v>5.3-1101-15-1/1</v>
          </cell>
          <cell r="G2469" t="str">
            <v>Подметание тротуаров, придомовых и внутрибольничных проездов средствами малой механизации ( 7142 м2*0,7=4999,4м2)</v>
          </cell>
          <cell r="H2469" t="str">
            <v>1000 м2</v>
          </cell>
          <cell r="I2469">
            <v>4.9993999999999996</v>
          </cell>
          <cell r="P2469">
            <v>50679.22</v>
          </cell>
          <cell r="Q2469">
            <v>1735628.9</v>
          </cell>
          <cell r="R2469">
            <v>709210.58</v>
          </cell>
          <cell r="X2469">
            <v>0</v>
          </cell>
          <cell r="Y2469">
            <v>0</v>
          </cell>
          <cell r="AE2469">
            <v>141859.14000000001</v>
          </cell>
          <cell r="AF2469">
            <v>0</v>
          </cell>
          <cell r="AL2469">
            <v>8.49</v>
          </cell>
          <cell r="AM2469">
            <v>290.76</v>
          </cell>
          <cell r="AN2469">
            <v>118.81</v>
          </cell>
          <cell r="AV2469">
            <v>1</v>
          </cell>
          <cell r="AW2469">
            <v>1</v>
          </cell>
          <cell r="BB2469">
            <v>1</v>
          </cell>
          <cell r="BC2469">
            <v>1</v>
          </cell>
          <cell r="BS2469">
            <v>1</v>
          </cell>
          <cell r="BZ2469">
            <v>70</v>
          </cell>
          <cell r="CA2469">
            <v>10</v>
          </cell>
          <cell r="CS2469">
            <v>141859.14000000001</v>
          </cell>
          <cell r="DD2469" t="str">
            <v>)*3*398</v>
          </cell>
          <cell r="DE2469" t="str">
            <v>)*3*398</v>
          </cell>
          <cell r="DF2469" t="str">
            <v>)*3*398</v>
          </cell>
        </row>
        <row r="2470">
          <cell r="F2470" t="str">
            <v>21.1-25-13</v>
          </cell>
          <cell r="G2470" t="str">
            <v>Вода</v>
          </cell>
          <cell r="H2470" t="str">
            <v>м3</v>
          </cell>
          <cell r="I2470">
            <v>-1193.85672</v>
          </cell>
          <cell r="O2470">
            <v>-50667.28</v>
          </cell>
          <cell r="X2470">
            <v>0</v>
          </cell>
          <cell r="Y2470">
            <v>0</v>
          </cell>
          <cell r="AE2470">
            <v>0</v>
          </cell>
          <cell r="AF2470">
            <v>0</v>
          </cell>
          <cell r="AK2470">
            <v>42.44</v>
          </cell>
          <cell r="AV2470">
            <v>1</v>
          </cell>
          <cell r="AW2470">
            <v>1</v>
          </cell>
          <cell r="BC2470">
            <v>1</v>
          </cell>
          <cell r="BZ2470">
            <v>70</v>
          </cell>
          <cell r="CA2470">
            <v>10</v>
          </cell>
          <cell r="CS2470">
            <v>0</v>
          </cell>
        </row>
        <row r="2471">
          <cell r="F2471" t="str">
            <v>5.3-1101-13-1/1</v>
          </cell>
          <cell r="G2471" t="str">
            <v>Подметание вручную дорожек и площадок с твердым покрытием ( 7142м2*0,3=2142,6м2)</v>
          </cell>
          <cell r="H2471" t="str">
            <v>100 м2</v>
          </cell>
          <cell r="I2471">
            <v>21.425999999999998</v>
          </cell>
          <cell r="S2471">
            <v>887973.57</v>
          </cell>
          <cell r="U2471">
            <v>3581.5701600000002</v>
          </cell>
          <cell r="X2471">
            <v>621581.5</v>
          </cell>
          <cell r="Y2471">
            <v>88797.36</v>
          </cell>
          <cell r="AE2471">
            <v>0</v>
          </cell>
          <cell r="AF2471">
            <v>41443.74</v>
          </cell>
          <cell r="AO2471">
            <v>34.71</v>
          </cell>
          <cell r="AQ2471">
            <v>0.14000000000000001</v>
          </cell>
          <cell r="AT2471">
            <v>70</v>
          </cell>
          <cell r="AU2471">
            <v>10</v>
          </cell>
          <cell r="AV2471">
            <v>1</v>
          </cell>
          <cell r="BA2471">
            <v>1</v>
          </cell>
          <cell r="BZ2471">
            <v>70</v>
          </cell>
          <cell r="CA2471">
            <v>10</v>
          </cell>
          <cell r="CS2471">
            <v>0</v>
          </cell>
          <cell r="DG2471" t="str">
            <v>)*3*398</v>
          </cell>
          <cell r="DI2471" t="str">
            <v>)*3*398</v>
          </cell>
        </row>
        <row r="2472">
          <cell r="F2472" t="str">
            <v>5.3-1101-13-3/1</v>
          </cell>
          <cell r="G2472" t="str">
            <v>Подметание вручную дорожек и площадок в дни листопада</v>
          </cell>
          <cell r="H2472" t="str">
            <v>100 м2</v>
          </cell>
          <cell r="I2472">
            <v>71.42</v>
          </cell>
          <cell r="S2472">
            <v>393081.4</v>
          </cell>
          <cell r="U2472">
            <v>1585.5239999999999</v>
          </cell>
          <cell r="X2472">
            <v>275156.98</v>
          </cell>
          <cell r="Y2472">
            <v>39308.14</v>
          </cell>
          <cell r="AE2472">
            <v>0</v>
          </cell>
          <cell r="AF2472">
            <v>5503.8</v>
          </cell>
          <cell r="AO2472">
            <v>91.73</v>
          </cell>
          <cell r="AQ2472">
            <v>0.37</v>
          </cell>
          <cell r="AT2472">
            <v>70</v>
          </cell>
          <cell r="AU2472">
            <v>10</v>
          </cell>
          <cell r="AV2472">
            <v>1</v>
          </cell>
          <cell r="BA2472">
            <v>1</v>
          </cell>
          <cell r="BZ2472">
            <v>70</v>
          </cell>
          <cell r="CA2472">
            <v>10</v>
          </cell>
          <cell r="CS2472">
            <v>0</v>
          </cell>
          <cell r="DG2472" t="str">
            <v>)*1*60</v>
          </cell>
          <cell r="DI2472" t="str">
            <v>)*1*60</v>
          </cell>
        </row>
        <row r="2473">
          <cell r="F2473" t="str">
            <v>5.3-1101-15-5/1</v>
          </cell>
          <cell r="G2473" t="str">
            <v>Мытье тротуаров, придомовых и внутрибольничных проездов средствами малой механизации</v>
          </cell>
          <cell r="H2473" t="str">
            <v>1000 м2</v>
          </cell>
          <cell r="I2473">
            <v>7.1420000000000003</v>
          </cell>
          <cell r="P2473">
            <v>2771.81</v>
          </cell>
          <cell r="Q2473">
            <v>10542.73</v>
          </cell>
          <cell r="R2473">
            <v>4307.91</v>
          </cell>
          <cell r="X2473">
            <v>0</v>
          </cell>
          <cell r="Y2473">
            <v>0</v>
          </cell>
          <cell r="AE2473">
            <v>603.17999999999995</v>
          </cell>
          <cell r="AF2473">
            <v>0</v>
          </cell>
          <cell r="AL2473">
            <v>194.05</v>
          </cell>
          <cell r="AM2473">
            <v>738.08</v>
          </cell>
          <cell r="AN2473">
            <v>301.58999999999997</v>
          </cell>
          <cell r="AV2473">
            <v>1</v>
          </cell>
          <cell r="AW2473">
            <v>1</v>
          </cell>
          <cell r="BB2473">
            <v>1</v>
          </cell>
          <cell r="BC2473">
            <v>1</v>
          </cell>
          <cell r="BS2473">
            <v>1</v>
          </cell>
          <cell r="BZ2473">
            <v>70</v>
          </cell>
          <cell r="CA2473">
            <v>10</v>
          </cell>
          <cell r="CS2473">
            <v>603.17999999999995</v>
          </cell>
          <cell r="DD2473" t="str">
            <v>)*1*2</v>
          </cell>
          <cell r="DE2473" t="str">
            <v>)*1*2</v>
          </cell>
          <cell r="DF2473" t="str">
            <v>)*1*2</v>
          </cell>
        </row>
        <row r="2474">
          <cell r="F2474" t="str">
            <v>21.1-25-13</v>
          </cell>
          <cell r="G2474" t="str">
            <v>Вода</v>
          </cell>
          <cell r="H2474" t="str">
            <v>м3</v>
          </cell>
          <cell r="I2474">
            <v>-15.99808</v>
          </cell>
          <cell r="O2474">
            <v>-678.96</v>
          </cell>
          <cell r="X2474">
            <v>0</v>
          </cell>
          <cell r="Y2474">
            <v>0</v>
          </cell>
          <cell r="AE2474">
            <v>0</v>
          </cell>
          <cell r="AF2474">
            <v>0</v>
          </cell>
          <cell r="AK2474">
            <v>42.44</v>
          </cell>
          <cell r="AV2474">
            <v>1</v>
          </cell>
          <cell r="AW2474">
            <v>1</v>
          </cell>
          <cell r="BC2474">
            <v>1</v>
          </cell>
          <cell r="BZ2474">
            <v>70</v>
          </cell>
          <cell r="CA2474">
            <v>10</v>
          </cell>
          <cell r="CS2474">
            <v>0</v>
          </cell>
        </row>
        <row r="2475">
          <cell r="F2475" t="str">
            <v>5.3-1101-15-4/1</v>
          </cell>
          <cell r="G2475" t="str">
            <v>Полив тротуаров, придомовых и внутрибольничных проездов средствами малой механизации</v>
          </cell>
          <cell r="H2475" t="str">
            <v>1000 м2</v>
          </cell>
          <cell r="I2475">
            <v>7.1420000000000003</v>
          </cell>
          <cell r="P2475">
            <v>19090.57</v>
          </cell>
          <cell r="Q2475">
            <v>603814.68000000005</v>
          </cell>
          <cell r="R2475">
            <v>246724.68</v>
          </cell>
          <cell r="X2475">
            <v>0</v>
          </cell>
          <cell r="Y2475">
            <v>0</v>
          </cell>
          <cell r="AE2475">
            <v>34545.599999999999</v>
          </cell>
          <cell r="AF2475">
            <v>0</v>
          </cell>
          <cell r="AL2475">
            <v>14.85</v>
          </cell>
          <cell r="AM2475">
            <v>469.69</v>
          </cell>
          <cell r="AN2475">
            <v>191.92</v>
          </cell>
          <cell r="AV2475">
            <v>1</v>
          </cell>
          <cell r="AW2475">
            <v>1</v>
          </cell>
          <cell r="BB2475">
            <v>1</v>
          </cell>
          <cell r="BC2475">
            <v>1</v>
          </cell>
          <cell r="BS2475">
            <v>1</v>
          </cell>
          <cell r="BZ2475">
            <v>70</v>
          </cell>
          <cell r="CA2475">
            <v>10</v>
          </cell>
          <cell r="CS2475">
            <v>34545.599999999999</v>
          </cell>
          <cell r="DD2475" t="str">
            <v>)*2*90</v>
          </cell>
          <cell r="DE2475" t="str">
            <v>)*2*90</v>
          </cell>
          <cell r="DF2475" t="str">
            <v>)*2*90</v>
          </cell>
        </row>
        <row r="2476">
          <cell r="F2476" t="str">
            <v>21.1-25-13</v>
          </cell>
          <cell r="G2476" t="str">
            <v>Вода</v>
          </cell>
          <cell r="H2476" t="str">
            <v>м3</v>
          </cell>
          <cell r="I2476">
            <v>-449.94600000000003</v>
          </cell>
          <cell r="O2476">
            <v>-19095.71</v>
          </cell>
          <cell r="X2476">
            <v>0</v>
          </cell>
          <cell r="Y2476">
            <v>0</v>
          </cell>
          <cell r="AE2476">
            <v>0</v>
          </cell>
          <cell r="AF2476">
            <v>0</v>
          </cell>
          <cell r="AK2476">
            <v>42.44</v>
          </cell>
          <cell r="AV2476">
            <v>1</v>
          </cell>
          <cell r="AW2476">
            <v>1</v>
          </cell>
          <cell r="BC2476">
            <v>1</v>
          </cell>
          <cell r="BZ2476">
            <v>70</v>
          </cell>
          <cell r="CA2476">
            <v>10</v>
          </cell>
          <cell r="CS2476">
            <v>0</v>
          </cell>
        </row>
        <row r="2478">
          <cell r="G2478" t="str">
            <v>Содержание   садово-парковых дорожек с мощением, рассчитанным на нагрузку 16т\ось ( 7142 м2)</v>
          </cell>
        </row>
        <row r="2508">
          <cell r="G2508" t="str">
            <v>Содержание дорожек с мощением , рассчитанным на нагрузку 16тн/ось ( 3712 м2 )( МКЗ)</v>
          </cell>
        </row>
        <row r="2512">
          <cell r="F2512" t="str">
            <v>5.3-1101-15-1/1</v>
          </cell>
          <cell r="G2512" t="str">
            <v>Подметание тротуаров, придомовых и внутрибольничных проездов средствами малой механизации ( 3712 м2*0,7=2598,4м2)</v>
          </cell>
          <cell r="H2512" t="str">
            <v>1000 м2</v>
          </cell>
          <cell r="I2512">
            <v>2.5983999999999998</v>
          </cell>
          <cell r="P2512">
            <v>26340.14</v>
          </cell>
          <cell r="Q2512">
            <v>902079.88</v>
          </cell>
          <cell r="R2512">
            <v>368606.79</v>
          </cell>
          <cell r="X2512">
            <v>0</v>
          </cell>
          <cell r="Y2512">
            <v>0</v>
          </cell>
          <cell r="AE2512">
            <v>141859.14000000001</v>
          </cell>
          <cell r="AF2512">
            <v>0</v>
          </cell>
          <cell r="AL2512">
            <v>8.49</v>
          </cell>
          <cell r="AM2512">
            <v>290.76</v>
          </cell>
          <cell r="AN2512">
            <v>118.81</v>
          </cell>
          <cell r="AV2512">
            <v>1</v>
          </cell>
          <cell r="AW2512">
            <v>1</v>
          </cell>
          <cell r="BB2512">
            <v>1</v>
          </cell>
          <cell r="BC2512">
            <v>1</v>
          </cell>
          <cell r="BS2512">
            <v>1</v>
          </cell>
          <cell r="BZ2512">
            <v>70</v>
          </cell>
          <cell r="CA2512">
            <v>10</v>
          </cell>
          <cell r="CS2512">
            <v>141859.14000000001</v>
          </cell>
          <cell r="DD2512" t="str">
            <v>)*3*398</v>
          </cell>
          <cell r="DE2512" t="str">
            <v>)*3*398</v>
          </cell>
          <cell r="DF2512" t="str">
            <v>)*3*398</v>
          </cell>
        </row>
        <row r="2513">
          <cell r="F2513" t="str">
            <v>21.1-25-13</v>
          </cell>
          <cell r="G2513" t="str">
            <v>Вода</v>
          </cell>
          <cell r="H2513" t="str">
            <v>м3</v>
          </cell>
          <cell r="I2513">
            <v>-620.49792000000002</v>
          </cell>
          <cell r="O2513">
            <v>-26333.93</v>
          </cell>
          <cell r="X2513">
            <v>0</v>
          </cell>
          <cell r="Y2513">
            <v>0</v>
          </cell>
          <cell r="AE2513">
            <v>0</v>
          </cell>
          <cell r="AF2513">
            <v>0</v>
          </cell>
          <cell r="AK2513">
            <v>42.44</v>
          </cell>
          <cell r="AV2513">
            <v>1</v>
          </cell>
          <cell r="AW2513">
            <v>1</v>
          </cell>
          <cell r="BC2513">
            <v>1</v>
          </cell>
          <cell r="BZ2513">
            <v>70</v>
          </cell>
          <cell r="CA2513">
            <v>10</v>
          </cell>
          <cell r="CS2513">
            <v>0</v>
          </cell>
        </row>
        <row r="2514">
          <cell r="F2514" t="str">
            <v>5.3-1101-13-1/1</v>
          </cell>
          <cell r="G2514" t="str">
            <v>Подметание вручную дорожек и площадок с твердым покрытием ( 3712м2*0,3=1113,6м2)</v>
          </cell>
          <cell r="H2514" t="str">
            <v>100 м2</v>
          </cell>
          <cell r="I2514">
            <v>11.135999999999999</v>
          </cell>
          <cell r="S2514">
            <v>461517.49</v>
          </cell>
          <cell r="U2514">
            <v>1861.4937600000001</v>
          </cell>
          <cell r="X2514">
            <v>323062.24</v>
          </cell>
          <cell r="Y2514">
            <v>46151.75</v>
          </cell>
          <cell r="AE2514">
            <v>0</v>
          </cell>
          <cell r="AF2514">
            <v>41443.74</v>
          </cell>
          <cell r="AO2514">
            <v>34.71</v>
          </cell>
          <cell r="AQ2514">
            <v>0.14000000000000001</v>
          </cell>
          <cell r="AT2514">
            <v>70</v>
          </cell>
          <cell r="AU2514">
            <v>10</v>
          </cell>
          <cell r="AV2514">
            <v>1</v>
          </cell>
          <cell r="BA2514">
            <v>1</v>
          </cell>
          <cell r="BZ2514">
            <v>70</v>
          </cell>
          <cell r="CA2514">
            <v>10</v>
          </cell>
          <cell r="CS2514">
            <v>0</v>
          </cell>
          <cell r="DG2514" t="str">
            <v>)*3*398</v>
          </cell>
          <cell r="DI2514" t="str">
            <v>)*3*398</v>
          </cell>
        </row>
        <row r="2515">
          <cell r="F2515" t="str">
            <v>5.3-1101-13-3/1</v>
          </cell>
          <cell r="G2515" t="str">
            <v>Подметание вручную дорожек и площадок в дни листопада</v>
          </cell>
          <cell r="H2515" t="str">
            <v>100 м2</v>
          </cell>
          <cell r="I2515">
            <v>37.119999999999997</v>
          </cell>
          <cell r="S2515">
            <v>204301.06</v>
          </cell>
          <cell r="U2515">
            <v>824.06399999999996</v>
          </cell>
          <cell r="X2515">
            <v>143010.74</v>
          </cell>
          <cell r="Y2515">
            <v>20430.11</v>
          </cell>
          <cell r="AE2515">
            <v>0</v>
          </cell>
          <cell r="AF2515">
            <v>5503.8</v>
          </cell>
          <cell r="AO2515">
            <v>91.73</v>
          </cell>
          <cell r="AQ2515">
            <v>0.37</v>
          </cell>
          <cell r="AT2515">
            <v>70</v>
          </cell>
          <cell r="AU2515">
            <v>10</v>
          </cell>
          <cell r="AV2515">
            <v>1</v>
          </cell>
          <cell r="BA2515">
            <v>1</v>
          </cell>
          <cell r="BZ2515">
            <v>70</v>
          </cell>
          <cell r="CA2515">
            <v>10</v>
          </cell>
          <cell r="CS2515">
            <v>0</v>
          </cell>
          <cell r="DG2515" t="str">
            <v>)*1*60</v>
          </cell>
          <cell r="DI2515" t="str">
            <v>)*1*60</v>
          </cell>
        </row>
        <row r="2516">
          <cell r="F2516" t="str">
            <v>5.3-1101-15-5/1</v>
          </cell>
          <cell r="G2516" t="str">
            <v>Мытье тротуаров, придомовых и внутрибольничных проездов средствами малой механизации</v>
          </cell>
          <cell r="H2516" t="str">
            <v>1000 м2</v>
          </cell>
          <cell r="I2516">
            <v>3.7120000000000002</v>
          </cell>
          <cell r="P2516">
            <v>1440.63</v>
          </cell>
          <cell r="Q2516">
            <v>5479.51</v>
          </cell>
          <cell r="R2516">
            <v>2239</v>
          </cell>
          <cell r="X2516">
            <v>0</v>
          </cell>
          <cell r="Y2516">
            <v>0</v>
          </cell>
          <cell r="AE2516">
            <v>603.17999999999995</v>
          </cell>
          <cell r="AF2516">
            <v>0</v>
          </cell>
          <cell r="AL2516">
            <v>194.05</v>
          </cell>
          <cell r="AM2516">
            <v>738.08</v>
          </cell>
          <cell r="AN2516">
            <v>301.58999999999997</v>
          </cell>
          <cell r="AV2516">
            <v>1</v>
          </cell>
          <cell r="AW2516">
            <v>1</v>
          </cell>
          <cell r="BB2516">
            <v>1</v>
          </cell>
          <cell r="BC2516">
            <v>1</v>
          </cell>
          <cell r="BS2516">
            <v>1</v>
          </cell>
          <cell r="BZ2516">
            <v>70</v>
          </cell>
          <cell r="CA2516">
            <v>10</v>
          </cell>
          <cell r="CS2516">
            <v>603.17999999999995</v>
          </cell>
          <cell r="DD2516" t="str">
            <v>)*1*2</v>
          </cell>
          <cell r="DE2516" t="str">
            <v>)*1*2</v>
          </cell>
          <cell r="DF2516" t="str">
            <v>)*1*2</v>
          </cell>
        </row>
        <row r="2517">
          <cell r="F2517" t="str">
            <v>21.1-25-13</v>
          </cell>
          <cell r="G2517" t="str">
            <v>Вода</v>
          </cell>
          <cell r="H2517" t="str">
            <v>м3</v>
          </cell>
          <cell r="I2517">
            <v>-8.3148800000000005</v>
          </cell>
          <cell r="O2517">
            <v>-352.88</v>
          </cell>
          <cell r="X2517">
            <v>0</v>
          </cell>
          <cell r="Y2517">
            <v>0</v>
          </cell>
          <cell r="AE2517">
            <v>0</v>
          </cell>
          <cell r="AF2517">
            <v>0</v>
          </cell>
          <cell r="AK2517">
            <v>42.44</v>
          </cell>
          <cell r="AV2517">
            <v>1</v>
          </cell>
          <cell r="AW2517">
            <v>1</v>
          </cell>
          <cell r="BC2517">
            <v>1</v>
          </cell>
          <cell r="BZ2517">
            <v>70</v>
          </cell>
          <cell r="CA2517">
            <v>10</v>
          </cell>
          <cell r="CS2517">
            <v>0</v>
          </cell>
        </row>
        <row r="2518">
          <cell r="F2518" t="str">
            <v>5.3-1101-15-4/1</v>
          </cell>
          <cell r="G2518" t="str">
            <v>Полив тротуаров, придомовых и внутрибольничных проездов средствами малой механизации</v>
          </cell>
          <cell r="H2518" t="str">
            <v>1000 м2</v>
          </cell>
          <cell r="I2518">
            <v>3.7120000000000002</v>
          </cell>
          <cell r="P2518">
            <v>9922.18</v>
          </cell>
          <cell r="Q2518">
            <v>313828.07</v>
          </cell>
          <cell r="R2518">
            <v>128233.27</v>
          </cell>
          <cell r="X2518">
            <v>0</v>
          </cell>
          <cell r="Y2518">
            <v>0</v>
          </cell>
          <cell r="AE2518">
            <v>34545.599999999999</v>
          </cell>
          <cell r="AF2518">
            <v>0</v>
          </cell>
          <cell r="AL2518">
            <v>14.85</v>
          </cell>
          <cell r="AM2518">
            <v>469.69</v>
          </cell>
          <cell r="AN2518">
            <v>191.92</v>
          </cell>
          <cell r="AV2518">
            <v>1</v>
          </cell>
          <cell r="AW2518">
            <v>1</v>
          </cell>
          <cell r="BB2518">
            <v>1</v>
          </cell>
          <cell r="BC2518">
            <v>1</v>
          </cell>
          <cell r="BS2518">
            <v>1</v>
          </cell>
          <cell r="BZ2518">
            <v>70</v>
          </cell>
          <cell r="CA2518">
            <v>10</v>
          </cell>
          <cell r="CS2518">
            <v>34545.599999999999</v>
          </cell>
          <cell r="DD2518" t="str">
            <v>)*2*90</v>
          </cell>
          <cell r="DE2518" t="str">
            <v>)*2*90</v>
          </cell>
          <cell r="DF2518" t="str">
            <v>)*2*90</v>
          </cell>
        </row>
        <row r="2519">
          <cell r="F2519" t="str">
            <v>21.1-25-13</v>
          </cell>
          <cell r="G2519" t="str">
            <v>Вода</v>
          </cell>
          <cell r="H2519" t="str">
            <v>м3</v>
          </cell>
          <cell r="I2519">
            <v>-233.85599999999999</v>
          </cell>
          <cell r="O2519">
            <v>-9924.85</v>
          </cell>
          <cell r="X2519">
            <v>0</v>
          </cell>
          <cell r="Y2519">
            <v>0</v>
          </cell>
          <cell r="AE2519">
            <v>0</v>
          </cell>
          <cell r="AF2519">
            <v>0</v>
          </cell>
          <cell r="AK2519">
            <v>42.44</v>
          </cell>
          <cell r="AV2519">
            <v>1</v>
          </cell>
          <cell r="AW2519">
            <v>1</v>
          </cell>
          <cell r="BC2519">
            <v>1</v>
          </cell>
          <cell r="BZ2519">
            <v>70</v>
          </cell>
          <cell r="CA2519">
            <v>10</v>
          </cell>
          <cell r="CS2519">
            <v>0</v>
          </cell>
        </row>
        <row r="2521">
          <cell r="G2521" t="str">
            <v>Содержание дорожек с мощением , рассчитанным на нагрузку 16тн/ось ( 3712 м2 )( МКЗ)</v>
          </cell>
        </row>
        <row r="2551">
          <cell r="G2551" t="str">
            <v>Содержание  садово-парковых дорожек с мощением парковым, 100% пешеходным ( 7199 м2)</v>
          </cell>
        </row>
        <row r="2555">
          <cell r="F2555" t="str">
            <v>5.3-1101-15-1/1</v>
          </cell>
          <cell r="G2555" t="str">
            <v>Подметание тротуаров, придомовых и внутрибольничных проездов средствами малой механизации( 7199 *0,7= 5039,3м2)</v>
          </cell>
          <cell r="H2555" t="str">
            <v>1000 м2</v>
          </cell>
          <cell r="I2555">
            <v>5.0392999999999999</v>
          </cell>
          <cell r="P2555">
            <v>51083.69</v>
          </cell>
          <cell r="Q2555">
            <v>1749480.88</v>
          </cell>
          <cell r="R2555">
            <v>714870.76</v>
          </cell>
          <cell r="X2555">
            <v>0</v>
          </cell>
          <cell r="Y2555">
            <v>0</v>
          </cell>
          <cell r="AE2555">
            <v>141859.14000000001</v>
          </cell>
          <cell r="AF2555">
            <v>0</v>
          </cell>
          <cell r="AL2555">
            <v>8.49</v>
          </cell>
          <cell r="AM2555">
            <v>290.76</v>
          </cell>
          <cell r="AN2555">
            <v>118.81</v>
          </cell>
          <cell r="AV2555">
            <v>1</v>
          </cell>
          <cell r="AW2555">
            <v>1</v>
          </cell>
          <cell r="BB2555">
            <v>1</v>
          </cell>
          <cell r="BC2555">
            <v>1</v>
          </cell>
          <cell r="BS2555">
            <v>1</v>
          </cell>
          <cell r="BZ2555">
            <v>70</v>
          </cell>
          <cell r="CA2555">
            <v>10</v>
          </cell>
          <cell r="CS2555">
            <v>141859.14000000001</v>
          </cell>
          <cell r="DD2555" t="str">
            <v>)*3*398</v>
          </cell>
          <cell r="DE2555" t="str">
            <v>)*3*398</v>
          </cell>
          <cell r="DF2555" t="str">
            <v>)*3*398</v>
          </cell>
        </row>
        <row r="2556">
          <cell r="F2556" t="str">
            <v>21.1-25-13</v>
          </cell>
          <cell r="G2556" t="str">
            <v>Вода</v>
          </cell>
          <cell r="H2556" t="str">
            <v>м3</v>
          </cell>
          <cell r="I2556">
            <v>-1203.3848399999999</v>
          </cell>
          <cell r="O2556">
            <v>-51071.65</v>
          </cell>
          <cell r="X2556">
            <v>0</v>
          </cell>
          <cell r="Y2556">
            <v>0</v>
          </cell>
          <cell r="AE2556">
            <v>0</v>
          </cell>
          <cell r="AF2556">
            <v>0</v>
          </cell>
          <cell r="AK2556">
            <v>42.44</v>
          </cell>
          <cell r="AV2556">
            <v>1</v>
          </cell>
          <cell r="AW2556">
            <v>1</v>
          </cell>
          <cell r="BC2556">
            <v>1</v>
          </cell>
          <cell r="BZ2556">
            <v>70</v>
          </cell>
          <cell r="CA2556">
            <v>10</v>
          </cell>
          <cell r="CS2556">
            <v>0</v>
          </cell>
        </row>
        <row r="2557">
          <cell r="F2557" t="str">
            <v>5.3-1101-13-1/1</v>
          </cell>
          <cell r="G2557" t="str">
            <v>Подметание вручную дорожек и площадок с твердым покрытием ( 7199 м2*0,3=2159,7м2)</v>
          </cell>
          <cell r="H2557" t="str">
            <v>100 м2</v>
          </cell>
          <cell r="I2557">
            <v>21.597000000000001</v>
          </cell>
          <cell r="S2557">
            <v>895060.45</v>
          </cell>
          <cell r="U2557">
            <v>3610.154520000001</v>
          </cell>
          <cell r="X2557">
            <v>626542.31999999995</v>
          </cell>
          <cell r="Y2557">
            <v>89506.05</v>
          </cell>
          <cell r="AE2557">
            <v>0</v>
          </cell>
          <cell r="AF2557">
            <v>41443.74</v>
          </cell>
          <cell r="AO2557">
            <v>34.71</v>
          </cell>
          <cell r="AQ2557">
            <v>0.14000000000000001</v>
          </cell>
          <cell r="AT2557">
            <v>70</v>
          </cell>
          <cell r="AU2557">
            <v>10</v>
          </cell>
          <cell r="AV2557">
            <v>1</v>
          </cell>
          <cell r="BA2557">
            <v>1</v>
          </cell>
          <cell r="BZ2557">
            <v>70</v>
          </cell>
          <cell r="CA2557">
            <v>10</v>
          </cell>
          <cell r="CS2557">
            <v>0</v>
          </cell>
          <cell r="DG2557" t="str">
            <v>)*3*398</v>
          </cell>
          <cell r="DI2557" t="str">
            <v>)*3*398</v>
          </cell>
        </row>
        <row r="2558">
          <cell r="F2558" t="str">
            <v>5.3-1101-13-3/1</v>
          </cell>
          <cell r="G2558" t="str">
            <v>Подметание вручную дорожек и площадок в дни листопада</v>
          </cell>
          <cell r="H2558" t="str">
            <v>100 м2</v>
          </cell>
          <cell r="I2558">
            <v>71.989999999999995</v>
          </cell>
          <cell r="S2558">
            <v>396218.56</v>
          </cell>
          <cell r="U2558">
            <v>1598.1779999999999</v>
          </cell>
          <cell r="X2558">
            <v>277352.99</v>
          </cell>
          <cell r="Y2558">
            <v>39621.86</v>
          </cell>
          <cell r="AE2558">
            <v>0</v>
          </cell>
          <cell r="AF2558">
            <v>5503.8</v>
          </cell>
          <cell r="AO2558">
            <v>91.73</v>
          </cell>
          <cell r="AQ2558">
            <v>0.37</v>
          </cell>
          <cell r="AT2558">
            <v>70</v>
          </cell>
          <cell r="AU2558">
            <v>10</v>
          </cell>
          <cell r="AV2558">
            <v>1</v>
          </cell>
          <cell r="BA2558">
            <v>1</v>
          </cell>
          <cell r="BZ2558">
            <v>70</v>
          </cell>
          <cell r="CA2558">
            <v>10</v>
          </cell>
          <cell r="CS2558">
            <v>0</v>
          </cell>
          <cell r="DG2558" t="str">
            <v>)*1*60</v>
          </cell>
          <cell r="DI2558" t="str">
            <v>)*1*60</v>
          </cell>
        </row>
        <row r="2559">
          <cell r="F2559" t="str">
            <v>5.3-1101-15-5/1</v>
          </cell>
          <cell r="G2559" t="str">
            <v>Мытье тротуаров, придомовых и внутрибольничных проездов средствами малой механизации</v>
          </cell>
          <cell r="H2559" t="str">
            <v>1000 м2</v>
          </cell>
          <cell r="I2559">
            <v>7.1989999999999998</v>
          </cell>
          <cell r="P2559">
            <v>2793.93</v>
          </cell>
          <cell r="Q2559">
            <v>10626.88</v>
          </cell>
          <cell r="R2559">
            <v>4342.29</v>
          </cell>
          <cell r="X2559">
            <v>0</v>
          </cell>
          <cell r="Y2559">
            <v>0</v>
          </cell>
          <cell r="AE2559">
            <v>603.17999999999995</v>
          </cell>
          <cell r="AF2559">
            <v>0</v>
          </cell>
          <cell r="AL2559">
            <v>194.05</v>
          </cell>
          <cell r="AM2559">
            <v>738.08</v>
          </cell>
          <cell r="AN2559">
            <v>301.58999999999997</v>
          </cell>
          <cell r="AV2559">
            <v>1</v>
          </cell>
          <cell r="AW2559">
            <v>1</v>
          </cell>
          <cell r="BB2559">
            <v>1</v>
          </cell>
          <cell r="BC2559">
            <v>1</v>
          </cell>
          <cell r="BS2559">
            <v>1</v>
          </cell>
          <cell r="BZ2559">
            <v>70</v>
          </cell>
          <cell r="CA2559">
            <v>10</v>
          </cell>
          <cell r="CS2559">
            <v>603.17999999999995</v>
          </cell>
          <cell r="DD2559" t="str">
            <v>)*1*2</v>
          </cell>
          <cell r="DE2559" t="str">
            <v>)*1*2</v>
          </cell>
          <cell r="DF2559" t="str">
            <v>)*1*2</v>
          </cell>
        </row>
        <row r="2560">
          <cell r="F2560" t="str">
            <v>21.1-25-13</v>
          </cell>
          <cell r="G2560" t="str">
            <v>Вода</v>
          </cell>
          <cell r="H2560" t="str">
            <v>м3</v>
          </cell>
          <cell r="I2560">
            <v>-16.12576</v>
          </cell>
          <cell r="O2560">
            <v>-684.38</v>
          </cell>
          <cell r="X2560">
            <v>0</v>
          </cell>
          <cell r="Y2560">
            <v>0</v>
          </cell>
          <cell r="AE2560">
            <v>0</v>
          </cell>
          <cell r="AF2560">
            <v>0</v>
          </cell>
          <cell r="AK2560">
            <v>42.44</v>
          </cell>
          <cell r="AV2560">
            <v>1</v>
          </cell>
          <cell r="AW2560">
            <v>1</v>
          </cell>
          <cell r="BC2560">
            <v>1</v>
          </cell>
          <cell r="BZ2560">
            <v>70</v>
          </cell>
          <cell r="CA2560">
            <v>10</v>
          </cell>
          <cell r="CS2560">
            <v>0</v>
          </cell>
        </row>
        <row r="2561">
          <cell r="F2561" t="str">
            <v>5.3-1101-15-4/1</v>
          </cell>
          <cell r="G2561" t="str">
            <v>Полив тротуаров, придомовых и внутрибольничных проездов средствами малой механизации</v>
          </cell>
          <cell r="H2561" t="str">
            <v>1000 м2</v>
          </cell>
          <cell r="I2561">
            <v>7.1989999999999998</v>
          </cell>
          <cell r="P2561">
            <v>19242.93</v>
          </cell>
          <cell r="Q2561">
            <v>608633.69999999995</v>
          </cell>
          <cell r="R2561">
            <v>248693.77</v>
          </cell>
          <cell r="X2561">
            <v>0</v>
          </cell>
          <cell r="Y2561">
            <v>0</v>
          </cell>
          <cell r="AE2561">
            <v>34545.599999999999</v>
          </cell>
          <cell r="AF2561">
            <v>0</v>
          </cell>
          <cell r="AL2561">
            <v>14.85</v>
          </cell>
          <cell r="AM2561">
            <v>469.69</v>
          </cell>
          <cell r="AN2561">
            <v>191.92</v>
          </cell>
          <cell r="AV2561">
            <v>1</v>
          </cell>
          <cell r="AW2561">
            <v>1</v>
          </cell>
          <cell r="BB2561">
            <v>1</v>
          </cell>
          <cell r="BC2561">
            <v>1</v>
          </cell>
          <cell r="BS2561">
            <v>1</v>
          </cell>
          <cell r="BZ2561">
            <v>70</v>
          </cell>
          <cell r="CA2561">
            <v>10</v>
          </cell>
          <cell r="CS2561">
            <v>34545.599999999999</v>
          </cell>
          <cell r="DD2561" t="str">
            <v>)*2*90</v>
          </cell>
          <cell r="DE2561" t="str">
            <v>)*2*90</v>
          </cell>
          <cell r="DF2561" t="str">
            <v>)*2*90</v>
          </cell>
        </row>
        <row r="2562">
          <cell r="F2562" t="str">
            <v>21.1-25-13</v>
          </cell>
          <cell r="G2562" t="str">
            <v>Вода</v>
          </cell>
          <cell r="H2562" t="str">
            <v>м3</v>
          </cell>
          <cell r="I2562">
            <v>-453.53699999999998</v>
          </cell>
          <cell r="O2562">
            <v>-19248.11</v>
          </cell>
          <cell r="X2562">
            <v>0</v>
          </cell>
          <cell r="Y2562">
            <v>0</v>
          </cell>
          <cell r="AE2562">
            <v>0</v>
          </cell>
          <cell r="AF2562">
            <v>0</v>
          </cell>
          <cell r="AK2562">
            <v>42.44</v>
          </cell>
          <cell r="AV2562">
            <v>1</v>
          </cell>
          <cell r="AW2562">
            <v>1</v>
          </cell>
          <cell r="BC2562">
            <v>1</v>
          </cell>
          <cell r="BZ2562">
            <v>70</v>
          </cell>
          <cell r="CA2562">
            <v>10</v>
          </cell>
          <cell r="CS2562">
            <v>0</v>
          </cell>
        </row>
        <row r="2564">
          <cell r="G2564" t="str">
            <v>Содержание  садово-парковых дорожек с мощением парковым, 100% пешеходным ( 7199 м2)</v>
          </cell>
        </row>
        <row r="2594">
          <cell r="G2594" t="str">
            <v>Содержание дорожек с мощением, 100% пешеходным ( 4341,27 м2)( МКЗ)</v>
          </cell>
        </row>
        <row r="2598">
          <cell r="F2598" t="str">
            <v>5.3-1101-15-1/1</v>
          </cell>
          <cell r="G2598" t="str">
            <v>Подметание тротуаров, придомовых и внутрибольничных проездов средствами малой механизации( 4341,27 м2 *0,7= 3038,89м2)</v>
          </cell>
          <cell r="H2598" t="str">
            <v>1000 м2</v>
          </cell>
          <cell r="I2598">
            <v>3.0388899999999999</v>
          </cell>
          <cell r="P2598">
            <v>30805.41</v>
          </cell>
          <cell r="Q2598">
            <v>1055003.6599999999</v>
          </cell>
          <cell r="R2598">
            <v>431094.32</v>
          </cell>
          <cell r="X2598">
            <v>0</v>
          </cell>
          <cell r="Y2598">
            <v>0</v>
          </cell>
          <cell r="AE2598">
            <v>141859.14000000001</v>
          </cell>
          <cell r="AF2598">
            <v>0</v>
          </cell>
          <cell r="AL2598">
            <v>8.49</v>
          </cell>
          <cell r="AM2598">
            <v>290.76</v>
          </cell>
          <cell r="AN2598">
            <v>118.81</v>
          </cell>
          <cell r="AV2598">
            <v>1</v>
          </cell>
          <cell r="AW2598">
            <v>1</v>
          </cell>
          <cell r="BB2598">
            <v>1</v>
          </cell>
          <cell r="BC2598">
            <v>1</v>
          </cell>
          <cell r="BS2598">
            <v>1</v>
          </cell>
          <cell r="BZ2598">
            <v>70</v>
          </cell>
          <cell r="CA2598">
            <v>10</v>
          </cell>
          <cell r="CS2598">
            <v>141859.14000000001</v>
          </cell>
          <cell r="DD2598" t="str">
            <v>)*3*398</v>
          </cell>
          <cell r="DE2598" t="str">
            <v>)*3*398</v>
          </cell>
          <cell r="DF2598" t="str">
            <v>)*3*398</v>
          </cell>
        </row>
        <row r="2599">
          <cell r="F2599" t="str">
            <v>21.1-25-13</v>
          </cell>
          <cell r="G2599" t="str">
            <v>Вода</v>
          </cell>
          <cell r="H2599" t="str">
            <v>м3</v>
          </cell>
          <cell r="I2599">
            <v>-725.68693199999996</v>
          </cell>
          <cell r="O2599">
            <v>-30798.15</v>
          </cell>
          <cell r="X2599">
            <v>0</v>
          </cell>
          <cell r="Y2599">
            <v>0</v>
          </cell>
          <cell r="AE2599">
            <v>0</v>
          </cell>
          <cell r="AF2599">
            <v>0</v>
          </cell>
          <cell r="AK2599">
            <v>42.44</v>
          </cell>
          <cell r="AV2599">
            <v>1</v>
          </cell>
          <cell r="AW2599">
            <v>1</v>
          </cell>
          <cell r="BC2599">
            <v>1</v>
          </cell>
          <cell r="BZ2599">
            <v>70</v>
          </cell>
          <cell r="CA2599">
            <v>10</v>
          </cell>
          <cell r="CS2599">
            <v>0</v>
          </cell>
        </row>
        <row r="2600">
          <cell r="F2600" t="str">
            <v>5.3-1101-13-1/1</v>
          </cell>
          <cell r="G2600" t="str">
            <v>Подметание вручную дорожек и площадок с твердым покрытием ( 4341,27 м2*0,3=1302,38м2)</v>
          </cell>
          <cell r="H2600" t="str">
            <v>100 м2</v>
          </cell>
          <cell r="I2600">
            <v>13.0238</v>
          </cell>
          <cell r="S2600">
            <v>539754.98</v>
          </cell>
          <cell r="U2600">
            <v>2177.0584080000003</v>
          </cell>
          <cell r="X2600">
            <v>377828.49</v>
          </cell>
          <cell r="Y2600">
            <v>53975.5</v>
          </cell>
          <cell r="AE2600">
            <v>0</v>
          </cell>
          <cell r="AF2600">
            <v>41443.74</v>
          </cell>
          <cell r="AO2600">
            <v>34.71</v>
          </cell>
          <cell r="AQ2600">
            <v>0.14000000000000001</v>
          </cell>
          <cell r="AT2600">
            <v>70</v>
          </cell>
          <cell r="AU2600">
            <v>10</v>
          </cell>
          <cell r="AV2600">
            <v>1</v>
          </cell>
          <cell r="BA2600">
            <v>1</v>
          </cell>
          <cell r="BZ2600">
            <v>70</v>
          </cell>
          <cell r="CA2600">
            <v>10</v>
          </cell>
          <cell r="CS2600">
            <v>0</v>
          </cell>
          <cell r="DG2600" t="str">
            <v>)*3*398</v>
          </cell>
          <cell r="DI2600" t="str">
            <v>)*3*398</v>
          </cell>
        </row>
        <row r="2601">
          <cell r="F2601" t="str">
            <v>5.3-1101-13-3/1</v>
          </cell>
          <cell r="G2601" t="str">
            <v>Подметание вручную дорожек и площадок в дни листопада</v>
          </cell>
          <cell r="H2601" t="str">
            <v>100 м2</v>
          </cell>
          <cell r="I2601">
            <v>43.412700000000001</v>
          </cell>
          <cell r="S2601">
            <v>238934.82</v>
          </cell>
          <cell r="U2601">
            <v>963.76193999999998</v>
          </cell>
          <cell r="X2601">
            <v>167254.37</v>
          </cell>
          <cell r="Y2601">
            <v>23893.48</v>
          </cell>
          <cell r="AE2601">
            <v>0</v>
          </cell>
          <cell r="AF2601">
            <v>5503.8</v>
          </cell>
          <cell r="AO2601">
            <v>91.73</v>
          </cell>
          <cell r="AQ2601">
            <v>0.37</v>
          </cell>
          <cell r="AT2601">
            <v>70</v>
          </cell>
          <cell r="AU2601">
            <v>10</v>
          </cell>
          <cell r="AV2601">
            <v>1</v>
          </cell>
          <cell r="BA2601">
            <v>1</v>
          </cell>
          <cell r="BZ2601">
            <v>70</v>
          </cell>
          <cell r="CA2601">
            <v>10</v>
          </cell>
          <cell r="CS2601">
            <v>0</v>
          </cell>
          <cell r="DG2601" t="str">
            <v>)*1*60</v>
          </cell>
          <cell r="DI2601" t="str">
            <v>)*1*60</v>
          </cell>
        </row>
        <row r="2602">
          <cell r="F2602" t="str">
            <v>5.3-1101-15-5/1</v>
          </cell>
          <cell r="G2602" t="str">
            <v>Мытье тротуаров, придомовых и внутрибольничных проездов средствами малой механизации</v>
          </cell>
          <cell r="H2602" t="str">
            <v>1000 м2</v>
          </cell>
          <cell r="I2602">
            <v>4.3412699999999997</v>
          </cell>
          <cell r="P2602">
            <v>1684.85</v>
          </cell>
          <cell r="Q2602">
            <v>6408.41</v>
          </cell>
          <cell r="R2602">
            <v>2618.5700000000002</v>
          </cell>
          <cell r="X2602">
            <v>0</v>
          </cell>
          <cell r="Y2602">
            <v>0</v>
          </cell>
          <cell r="AE2602">
            <v>603.17999999999995</v>
          </cell>
          <cell r="AF2602">
            <v>0</v>
          </cell>
          <cell r="AL2602">
            <v>194.05</v>
          </cell>
          <cell r="AM2602">
            <v>738.08</v>
          </cell>
          <cell r="AN2602">
            <v>301.58999999999997</v>
          </cell>
          <cell r="AV2602">
            <v>1</v>
          </cell>
          <cell r="AW2602">
            <v>1</v>
          </cell>
          <cell r="BB2602">
            <v>1</v>
          </cell>
          <cell r="BC2602">
            <v>1</v>
          </cell>
          <cell r="BS2602">
            <v>1</v>
          </cell>
          <cell r="BZ2602">
            <v>70</v>
          </cell>
          <cell r="CA2602">
            <v>10</v>
          </cell>
          <cell r="CS2602">
            <v>603.17999999999995</v>
          </cell>
          <cell r="DD2602" t="str">
            <v>)*1*2</v>
          </cell>
          <cell r="DE2602" t="str">
            <v>)*1*2</v>
          </cell>
          <cell r="DF2602" t="str">
            <v>)*1*2</v>
          </cell>
        </row>
        <row r="2603">
          <cell r="F2603" t="str">
            <v>21.1-25-13</v>
          </cell>
          <cell r="G2603" t="str">
            <v>Вода</v>
          </cell>
          <cell r="H2603" t="str">
            <v>м3</v>
          </cell>
          <cell r="I2603">
            <v>-9.7244449999999993</v>
          </cell>
          <cell r="O2603">
            <v>-412.71</v>
          </cell>
          <cell r="X2603">
            <v>0</v>
          </cell>
          <cell r="Y2603">
            <v>0</v>
          </cell>
          <cell r="AE2603">
            <v>0</v>
          </cell>
          <cell r="AF2603">
            <v>0</v>
          </cell>
          <cell r="AK2603">
            <v>42.44</v>
          </cell>
          <cell r="AV2603">
            <v>1</v>
          </cell>
          <cell r="AW2603">
            <v>1</v>
          </cell>
          <cell r="BC2603">
            <v>1</v>
          </cell>
          <cell r="BZ2603">
            <v>70</v>
          </cell>
          <cell r="CA2603">
            <v>10</v>
          </cell>
          <cell r="CS2603">
            <v>0</v>
          </cell>
        </row>
        <row r="2604">
          <cell r="F2604" t="str">
            <v>5.3-1101-15-4/1</v>
          </cell>
          <cell r="G2604" t="str">
            <v>Полив тротуаров, придомовых и внутрибольничных проездов средствами малой механизации</v>
          </cell>
          <cell r="H2604" t="str">
            <v>1000 м2</v>
          </cell>
          <cell r="I2604">
            <v>4.3412699999999997</v>
          </cell>
          <cell r="P2604">
            <v>11604.21</v>
          </cell>
          <cell r="Q2604">
            <v>367029.2</v>
          </cell>
          <cell r="R2604">
            <v>149971.78</v>
          </cell>
          <cell r="X2604">
            <v>0</v>
          </cell>
          <cell r="Y2604">
            <v>0</v>
          </cell>
          <cell r="AE2604">
            <v>34545.599999999999</v>
          </cell>
          <cell r="AF2604">
            <v>0</v>
          </cell>
          <cell r="AL2604">
            <v>14.85</v>
          </cell>
          <cell r="AM2604">
            <v>469.69</v>
          </cell>
          <cell r="AN2604">
            <v>191.92</v>
          </cell>
          <cell r="AV2604">
            <v>1</v>
          </cell>
          <cell r="AW2604">
            <v>1</v>
          </cell>
          <cell r="BB2604">
            <v>1</v>
          </cell>
          <cell r="BC2604">
            <v>1</v>
          </cell>
          <cell r="BS2604">
            <v>1</v>
          </cell>
          <cell r="BZ2604">
            <v>70</v>
          </cell>
          <cell r="CA2604">
            <v>10</v>
          </cell>
          <cell r="CS2604">
            <v>34545.599999999999</v>
          </cell>
          <cell r="DD2604" t="str">
            <v>)*2*90</v>
          </cell>
          <cell r="DE2604" t="str">
            <v>)*2*90</v>
          </cell>
          <cell r="DF2604" t="str">
            <v>)*2*90</v>
          </cell>
        </row>
        <row r="2605">
          <cell r="F2605" t="str">
            <v>21.1-25-13</v>
          </cell>
          <cell r="G2605" t="str">
            <v>Вода</v>
          </cell>
          <cell r="H2605" t="str">
            <v>м3</v>
          </cell>
          <cell r="I2605">
            <v>-273.50000999999997</v>
          </cell>
          <cell r="O2605">
            <v>-11607.34</v>
          </cell>
          <cell r="X2605">
            <v>0</v>
          </cell>
          <cell r="Y2605">
            <v>0</v>
          </cell>
          <cell r="AE2605">
            <v>0</v>
          </cell>
          <cell r="AF2605">
            <v>0</v>
          </cell>
          <cell r="AK2605">
            <v>42.44</v>
          </cell>
          <cell r="AV2605">
            <v>1</v>
          </cell>
          <cell r="AW2605">
            <v>1</v>
          </cell>
          <cell r="BC2605">
            <v>1</v>
          </cell>
          <cell r="BZ2605">
            <v>70</v>
          </cell>
          <cell r="CA2605">
            <v>10</v>
          </cell>
          <cell r="CS2605">
            <v>0</v>
          </cell>
        </row>
        <row r="2607">
          <cell r="G2607" t="str">
            <v>Содержание дорожек с мощением, 100% пешеходным ( 4341,27 м2)( МКЗ)</v>
          </cell>
        </row>
        <row r="2637">
          <cell r="G2637" t="str">
            <v>Содержание садово-парковых дорожек с мощением парковым пиксельным( 50% )( S=3440 м2)</v>
          </cell>
        </row>
        <row r="2641">
          <cell r="F2641" t="str">
            <v>5.3-1101-13-1/1</v>
          </cell>
          <cell r="G2641" t="str">
            <v>Подметание вручную дорожек и площадок с твердым покрытием</v>
          </cell>
          <cell r="H2641" t="str">
            <v>100 м2</v>
          </cell>
          <cell r="I2641">
            <v>34.4</v>
          </cell>
          <cell r="S2641">
            <v>1425664.66</v>
          </cell>
          <cell r="U2641">
            <v>5750.304000000001</v>
          </cell>
          <cell r="X2641">
            <v>997965.26</v>
          </cell>
          <cell r="Y2641">
            <v>142566.47</v>
          </cell>
          <cell r="AE2641">
            <v>0</v>
          </cell>
          <cell r="AF2641">
            <v>41443.74</v>
          </cell>
          <cell r="AO2641">
            <v>34.71</v>
          </cell>
          <cell r="AQ2641">
            <v>0.14000000000000001</v>
          </cell>
          <cell r="AT2641">
            <v>70</v>
          </cell>
          <cell r="AU2641">
            <v>10</v>
          </cell>
          <cell r="AV2641">
            <v>1</v>
          </cell>
          <cell r="BA2641">
            <v>1</v>
          </cell>
          <cell r="BZ2641">
            <v>70</v>
          </cell>
          <cell r="CA2641">
            <v>10</v>
          </cell>
          <cell r="CS2641">
            <v>0</v>
          </cell>
          <cell r="DG2641" t="str">
            <v>)*3*398</v>
          </cell>
          <cell r="DI2641" t="str">
            <v>)*3*398</v>
          </cell>
        </row>
        <row r="2642">
          <cell r="F2642" t="str">
            <v>5.3-1101-13-3/1</v>
          </cell>
          <cell r="G2642" t="str">
            <v>Подметание вручную дорожек и площадок в дни листопада</v>
          </cell>
          <cell r="H2642" t="str">
            <v>100 м2</v>
          </cell>
          <cell r="I2642">
            <v>34.4</v>
          </cell>
          <cell r="S2642">
            <v>189330.72</v>
          </cell>
          <cell r="U2642">
            <v>763.68</v>
          </cell>
          <cell r="X2642">
            <v>132531.5</v>
          </cell>
          <cell r="Y2642">
            <v>18933.07</v>
          </cell>
          <cell r="AE2642">
            <v>0</v>
          </cell>
          <cell r="AF2642">
            <v>5503.8</v>
          </cell>
          <cell r="AO2642">
            <v>91.73</v>
          </cell>
          <cell r="AQ2642">
            <v>0.37</v>
          </cell>
          <cell r="AT2642">
            <v>70</v>
          </cell>
          <cell r="AU2642">
            <v>10</v>
          </cell>
          <cell r="AV2642">
            <v>1</v>
          </cell>
          <cell r="BA2642">
            <v>1</v>
          </cell>
          <cell r="BZ2642">
            <v>70</v>
          </cell>
          <cell r="CA2642">
            <v>10</v>
          </cell>
          <cell r="CS2642">
            <v>0</v>
          </cell>
          <cell r="DG2642" t="str">
            <v>)*1*60</v>
          </cell>
          <cell r="DI2642" t="str">
            <v>)*1*60</v>
          </cell>
        </row>
        <row r="2643">
          <cell r="F2643" t="str">
            <v>5.3-1101-14-1/1</v>
          </cell>
          <cell r="G2643" t="str">
            <v>Полив дорожек из шланга вручную</v>
          </cell>
          <cell r="H2643" t="str">
            <v>100 м2</v>
          </cell>
          <cell r="I2643">
            <v>34.4</v>
          </cell>
          <cell r="P2643">
            <v>26254.080000000002</v>
          </cell>
          <cell r="S2643">
            <v>199568.16</v>
          </cell>
          <cell r="U2643">
            <v>804.96</v>
          </cell>
          <cell r="X2643">
            <v>139697.71</v>
          </cell>
          <cell r="Y2643">
            <v>19956.82</v>
          </cell>
          <cell r="AE2643">
            <v>0</v>
          </cell>
          <cell r="AF2643">
            <v>5801.4</v>
          </cell>
          <cell r="AL2643">
            <v>4.24</v>
          </cell>
          <cell r="AO2643">
            <v>32.229999999999997</v>
          </cell>
          <cell r="AQ2643">
            <v>0.13</v>
          </cell>
          <cell r="AT2643">
            <v>70</v>
          </cell>
          <cell r="AU2643">
            <v>10</v>
          </cell>
          <cell r="AV2643">
            <v>1</v>
          </cell>
          <cell r="AW2643">
            <v>1</v>
          </cell>
          <cell r="BA2643">
            <v>1</v>
          </cell>
          <cell r="BC2643">
            <v>1</v>
          </cell>
          <cell r="BZ2643">
            <v>70</v>
          </cell>
          <cell r="CA2643">
            <v>10</v>
          </cell>
          <cell r="CS2643">
            <v>0</v>
          </cell>
          <cell r="DD2643" t="str">
            <v>)*2*90</v>
          </cell>
          <cell r="DG2643" t="str">
            <v>)*2*90</v>
          </cell>
          <cell r="DI2643" t="str">
            <v>)*2*90</v>
          </cell>
        </row>
        <row r="2644">
          <cell r="F2644" t="str">
            <v>21.1-25-13</v>
          </cell>
          <cell r="G2644" t="str">
            <v>Вода</v>
          </cell>
          <cell r="H2644" t="str">
            <v>м3</v>
          </cell>
          <cell r="I2644">
            <v>-619.20000000000005</v>
          </cell>
          <cell r="O2644">
            <v>-26278.85</v>
          </cell>
          <cell r="X2644">
            <v>0</v>
          </cell>
          <cell r="Y2644">
            <v>0</v>
          </cell>
          <cell r="AE2644">
            <v>0</v>
          </cell>
          <cell r="AF2644">
            <v>0</v>
          </cell>
          <cell r="AK2644">
            <v>42.44</v>
          </cell>
          <cell r="AV2644">
            <v>1</v>
          </cell>
          <cell r="AW2644">
            <v>1</v>
          </cell>
          <cell r="BC2644">
            <v>1</v>
          </cell>
          <cell r="BZ2644">
            <v>70</v>
          </cell>
          <cell r="CA2644">
            <v>10</v>
          </cell>
          <cell r="CS2644">
            <v>0</v>
          </cell>
        </row>
        <row r="2646">
          <cell r="G2646" t="str">
            <v>Содержание садово-парковых дорожек с мощением парковым пиксельным( 50% )( S=3440 м2)</v>
          </cell>
        </row>
        <row r="2676">
          <cell r="G2676" t="str">
            <v>Содержание дорожек с мощением  50% пешеходное(200 м2) ( МКЗ)</v>
          </cell>
        </row>
        <row r="2680">
          <cell r="F2680" t="str">
            <v>5.3-1101-13-1/1</v>
          </cell>
          <cell r="G2680" t="str">
            <v>Подметание вручную дорожек и площадок с твердым покрытием</v>
          </cell>
          <cell r="H2680" t="str">
            <v>100 м2</v>
          </cell>
          <cell r="I2680">
            <v>2</v>
          </cell>
          <cell r="S2680">
            <v>82887.48</v>
          </cell>
          <cell r="U2680">
            <v>334.32000000000005</v>
          </cell>
          <cell r="X2680">
            <v>58021.24</v>
          </cell>
          <cell r="Y2680">
            <v>8288.75</v>
          </cell>
          <cell r="AE2680">
            <v>0</v>
          </cell>
          <cell r="AF2680">
            <v>41443.74</v>
          </cell>
          <cell r="AO2680">
            <v>34.71</v>
          </cell>
          <cell r="AQ2680">
            <v>0.14000000000000001</v>
          </cell>
          <cell r="AT2680">
            <v>70</v>
          </cell>
          <cell r="AU2680">
            <v>10</v>
          </cell>
          <cell r="AV2680">
            <v>1</v>
          </cell>
          <cell r="BA2680">
            <v>1</v>
          </cell>
          <cell r="BZ2680">
            <v>70</v>
          </cell>
          <cell r="CA2680">
            <v>10</v>
          </cell>
          <cell r="CS2680">
            <v>0</v>
          </cell>
          <cell r="DG2680" t="str">
            <v>)*3*398</v>
          </cell>
          <cell r="DI2680" t="str">
            <v>)*3*398</v>
          </cell>
        </row>
        <row r="2681">
          <cell r="F2681" t="str">
            <v>5.3-1101-13-3/1</v>
          </cell>
          <cell r="G2681" t="str">
            <v>Подметание вручную дорожек и площадок в дни листопада</v>
          </cell>
          <cell r="H2681" t="str">
            <v>100 м2</v>
          </cell>
          <cell r="I2681">
            <v>2</v>
          </cell>
          <cell r="S2681">
            <v>11007.6</v>
          </cell>
          <cell r="U2681">
            <v>44.4</v>
          </cell>
          <cell r="X2681">
            <v>7705.32</v>
          </cell>
          <cell r="Y2681">
            <v>1100.76</v>
          </cell>
          <cell r="AE2681">
            <v>0</v>
          </cell>
          <cell r="AF2681">
            <v>5503.8</v>
          </cell>
          <cell r="AO2681">
            <v>91.73</v>
          </cell>
          <cell r="AQ2681">
            <v>0.37</v>
          </cell>
          <cell r="AT2681">
            <v>70</v>
          </cell>
          <cell r="AU2681">
            <v>10</v>
          </cell>
          <cell r="AV2681">
            <v>1</v>
          </cell>
          <cell r="BA2681">
            <v>1</v>
          </cell>
          <cell r="BZ2681">
            <v>70</v>
          </cell>
          <cell r="CA2681">
            <v>10</v>
          </cell>
          <cell r="CS2681">
            <v>0</v>
          </cell>
          <cell r="DG2681" t="str">
            <v>)*1*60</v>
          </cell>
          <cell r="DI2681" t="str">
            <v>)*1*60</v>
          </cell>
        </row>
        <row r="2682">
          <cell r="F2682" t="str">
            <v>5.3-1101-14-1/1</v>
          </cell>
          <cell r="G2682" t="str">
            <v>Полив дорожек из шланга вручную</v>
          </cell>
          <cell r="H2682" t="str">
            <v>100 м2</v>
          </cell>
          <cell r="I2682">
            <v>2</v>
          </cell>
          <cell r="P2682">
            <v>1526.4</v>
          </cell>
          <cell r="S2682">
            <v>11602.8</v>
          </cell>
          <cell r="U2682">
            <v>46.800000000000004</v>
          </cell>
          <cell r="X2682">
            <v>8121.96</v>
          </cell>
          <cell r="Y2682">
            <v>1160.28</v>
          </cell>
          <cell r="AE2682">
            <v>0</v>
          </cell>
          <cell r="AF2682">
            <v>5801.4</v>
          </cell>
          <cell r="AL2682">
            <v>4.24</v>
          </cell>
          <cell r="AO2682">
            <v>32.229999999999997</v>
          </cell>
          <cell r="AQ2682">
            <v>0.13</v>
          </cell>
          <cell r="AT2682">
            <v>70</v>
          </cell>
          <cell r="AU2682">
            <v>10</v>
          </cell>
          <cell r="AV2682">
            <v>1</v>
          </cell>
          <cell r="AW2682">
            <v>1</v>
          </cell>
          <cell r="BA2682">
            <v>1</v>
          </cell>
          <cell r="BC2682">
            <v>1</v>
          </cell>
          <cell r="BZ2682">
            <v>70</v>
          </cell>
          <cell r="CA2682">
            <v>10</v>
          </cell>
          <cell r="CS2682">
            <v>0</v>
          </cell>
          <cell r="DD2682" t="str">
            <v>)*2*90</v>
          </cell>
          <cell r="DG2682" t="str">
            <v>)*2*90</v>
          </cell>
          <cell r="DI2682" t="str">
            <v>)*2*90</v>
          </cell>
        </row>
        <row r="2683">
          <cell r="F2683" t="str">
            <v>21.1-25-13</v>
          </cell>
          <cell r="G2683" t="str">
            <v>Вода</v>
          </cell>
          <cell r="H2683" t="str">
            <v>м3</v>
          </cell>
          <cell r="I2683">
            <v>-36</v>
          </cell>
          <cell r="O2683">
            <v>-1527.84</v>
          </cell>
          <cell r="X2683">
            <v>0</v>
          </cell>
          <cell r="Y2683">
            <v>0</v>
          </cell>
          <cell r="AE2683">
            <v>0</v>
          </cell>
          <cell r="AF2683">
            <v>0</v>
          </cell>
          <cell r="AK2683">
            <v>42.44</v>
          </cell>
          <cell r="AV2683">
            <v>1</v>
          </cell>
          <cell r="AW2683">
            <v>1</v>
          </cell>
          <cell r="BC2683">
            <v>1</v>
          </cell>
          <cell r="BZ2683">
            <v>70</v>
          </cell>
          <cell r="CA2683">
            <v>10</v>
          </cell>
          <cell r="CS2683">
            <v>0</v>
          </cell>
        </row>
        <row r="2685">
          <cell r="G2685" t="str">
            <v>Содержание дорожек с мощением  50% пешеходное(200 м2) ( МКЗ)</v>
          </cell>
        </row>
        <row r="2715">
          <cell r="G2715" t="str">
            <v>Содержание садово-парковых дорожных покрытий с мощением парковым, пешеходным с разным уровнем уклона поверхности (S =1040 м2 )</v>
          </cell>
        </row>
        <row r="2719">
          <cell r="F2719" t="str">
            <v>5.3-1101-13-1/1</v>
          </cell>
          <cell r="G2719" t="str">
            <v>Подметание вручную дорожек и площадок с твердым покрытием</v>
          </cell>
          <cell r="H2719" t="str">
            <v>100 м2</v>
          </cell>
          <cell r="I2719">
            <v>10.4</v>
          </cell>
          <cell r="S2719">
            <v>431014.9</v>
          </cell>
          <cell r="U2719">
            <v>1738.4640000000004</v>
          </cell>
          <cell r="X2719">
            <v>301710.43</v>
          </cell>
          <cell r="Y2719">
            <v>43101.49</v>
          </cell>
          <cell r="AE2719">
            <v>0</v>
          </cell>
          <cell r="AF2719">
            <v>41443.74</v>
          </cell>
          <cell r="AO2719">
            <v>34.71</v>
          </cell>
          <cell r="AQ2719">
            <v>0.14000000000000001</v>
          </cell>
          <cell r="AT2719">
            <v>70</v>
          </cell>
          <cell r="AU2719">
            <v>10</v>
          </cell>
          <cell r="AV2719">
            <v>1</v>
          </cell>
          <cell r="BA2719">
            <v>1</v>
          </cell>
          <cell r="BZ2719">
            <v>70</v>
          </cell>
          <cell r="CA2719">
            <v>10</v>
          </cell>
          <cell r="CS2719">
            <v>0</v>
          </cell>
          <cell r="DG2719" t="str">
            <v>)*3*398</v>
          </cell>
          <cell r="DI2719" t="str">
            <v>)*3*398</v>
          </cell>
        </row>
        <row r="2720">
          <cell r="F2720" t="str">
            <v>5.3-1101-13-3/1</v>
          </cell>
          <cell r="G2720" t="str">
            <v>Подметание вручную дорожек и площадок в дни листопада</v>
          </cell>
          <cell r="H2720" t="str">
            <v>100 м2</v>
          </cell>
          <cell r="I2720">
            <v>10.4</v>
          </cell>
          <cell r="S2720">
            <v>57239.519999999997</v>
          </cell>
          <cell r="U2720">
            <v>230.88</v>
          </cell>
          <cell r="X2720">
            <v>40067.660000000003</v>
          </cell>
          <cell r="Y2720">
            <v>5723.95</v>
          </cell>
          <cell r="AE2720">
            <v>0</v>
          </cell>
          <cell r="AF2720">
            <v>5503.8</v>
          </cell>
          <cell r="AO2720">
            <v>91.73</v>
          </cell>
          <cell r="AQ2720">
            <v>0.37</v>
          </cell>
          <cell r="AT2720">
            <v>70</v>
          </cell>
          <cell r="AU2720">
            <v>10</v>
          </cell>
          <cell r="AV2720">
            <v>1</v>
          </cell>
          <cell r="BA2720">
            <v>1</v>
          </cell>
          <cell r="BZ2720">
            <v>70</v>
          </cell>
          <cell r="CA2720">
            <v>10</v>
          </cell>
          <cell r="CS2720">
            <v>0</v>
          </cell>
          <cell r="DG2720" t="str">
            <v>)*1*60</v>
          </cell>
          <cell r="DI2720" t="str">
            <v>)*1*60</v>
          </cell>
        </row>
        <row r="2721">
          <cell r="F2721" t="str">
            <v>5.3-1101-14-1/1</v>
          </cell>
          <cell r="G2721" t="str">
            <v>Полив дорожек из шланга вручную</v>
          </cell>
          <cell r="H2721" t="str">
            <v>100 м2</v>
          </cell>
          <cell r="I2721">
            <v>10.4</v>
          </cell>
          <cell r="P2721">
            <v>7937.28</v>
          </cell>
          <cell r="S2721">
            <v>60334.559999999998</v>
          </cell>
          <cell r="U2721">
            <v>243.36000000000004</v>
          </cell>
          <cell r="X2721">
            <v>42234.19</v>
          </cell>
          <cell r="Y2721">
            <v>6033.46</v>
          </cell>
          <cell r="AE2721">
            <v>0</v>
          </cell>
          <cell r="AF2721">
            <v>5801.4</v>
          </cell>
          <cell r="AL2721">
            <v>4.24</v>
          </cell>
          <cell r="AO2721">
            <v>32.229999999999997</v>
          </cell>
          <cell r="AQ2721">
            <v>0.13</v>
          </cell>
          <cell r="AT2721">
            <v>70</v>
          </cell>
          <cell r="AU2721">
            <v>10</v>
          </cell>
          <cell r="AV2721">
            <v>1</v>
          </cell>
          <cell r="AW2721">
            <v>1</v>
          </cell>
          <cell r="BA2721">
            <v>1</v>
          </cell>
          <cell r="BC2721">
            <v>1</v>
          </cell>
          <cell r="BZ2721">
            <v>70</v>
          </cell>
          <cell r="CA2721">
            <v>10</v>
          </cell>
          <cell r="CS2721">
            <v>0</v>
          </cell>
          <cell r="DD2721" t="str">
            <v>)*2*90</v>
          </cell>
          <cell r="DG2721" t="str">
            <v>)*2*90</v>
          </cell>
          <cell r="DI2721" t="str">
            <v>)*2*90</v>
          </cell>
        </row>
        <row r="2722">
          <cell r="F2722" t="str">
            <v>21.1-25-13</v>
          </cell>
          <cell r="G2722" t="str">
            <v>Вода</v>
          </cell>
          <cell r="H2722" t="str">
            <v>м3</v>
          </cell>
          <cell r="I2722">
            <v>-187.20000000000002</v>
          </cell>
          <cell r="O2722">
            <v>-7944.77</v>
          </cell>
          <cell r="X2722">
            <v>0</v>
          </cell>
          <cell r="Y2722">
            <v>0</v>
          </cell>
          <cell r="AE2722">
            <v>0</v>
          </cell>
          <cell r="AF2722">
            <v>0</v>
          </cell>
          <cell r="AK2722">
            <v>42.44</v>
          </cell>
          <cell r="AV2722">
            <v>1</v>
          </cell>
          <cell r="AW2722">
            <v>1</v>
          </cell>
          <cell r="BC2722">
            <v>1</v>
          </cell>
          <cell r="BZ2722">
            <v>70</v>
          </cell>
          <cell r="CA2722">
            <v>10</v>
          </cell>
          <cell r="CS2722">
            <v>0</v>
          </cell>
        </row>
        <row r="2724">
          <cell r="G2724" t="str">
            <v>Содержание садово-парковых дорожных покрытий с мощением парковым, пешеходным с разным уровнем уклона поверхности (S =1040 м2 )</v>
          </cell>
        </row>
        <row r="2754">
          <cell r="G2754" t="str">
            <v>Содержание  садово-парковых дорожек с покрытием из гравийной крошки + вокруг МАФ( S= 3676.88 м2)</v>
          </cell>
        </row>
        <row r="2758">
          <cell r="F2758" t="str">
            <v>5.3-1101-13-2/1</v>
          </cell>
          <cell r="G2758" t="str">
            <v>Подметание вручную дорожек и площадок с грунтовым и щебеночным покрытием ( с гравийным покрытием ) ( прим.)</v>
          </cell>
          <cell r="H2758" t="str">
            <v>100 м2</v>
          </cell>
          <cell r="I2758">
            <v>36.768799999999999</v>
          </cell>
          <cell r="S2758">
            <v>2612165.86</v>
          </cell>
          <cell r="U2758">
            <v>10536.467328000001</v>
          </cell>
          <cell r="X2758">
            <v>1828516.1</v>
          </cell>
          <cell r="Y2758">
            <v>261216.59</v>
          </cell>
          <cell r="AE2758">
            <v>0</v>
          </cell>
          <cell r="AF2758">
            <v>71043</v>
          </cell>
          <cell r="AO2758">
            <v>59.5</v>
          </cell>
          <cell r="AQ2758">
            <v>0.24</v>
          </cell>
          <cell r="AT2758">
            <v>70</v>
          </cell>
          <cell r="AU2758">
            <v>10</v>
          </cell>
          <cell r="AV2758">
            <v>1</v>
          </cell>
          <cell r="BA2758">
            <v>1</v>
          </cell>
          <cell r="BZ2758">
            <v>70</v>
          </cell>
          <cell r="CA2758">
            <v>10</v>
          </cell>
          <cell r="CS2758">
            <v>0</v>
          </cell>
          <cell r="DG2758" t="str">
            <v>)*3*398</v>
          </cell>
          <cell r="DI2758" t="str">
            <v>)*3*398</v>
          </cell>
        </row>
        <row r="2759">
          <cell r="F2759" t="str">
            <v>5.3-1101-13-3/1</v>
          </cell>
          <cell r="G2759" t="str">
            <v>Подметание вручную дорожек и площадок в дни листопада</v>
          </cell>
          <cell r="H2759" t="str">
            <v>100 м2</v>
          </cell>
          <cell r="I2759">
            <v>36.768799999999999</v>
          </cell>
          <cell r="S2759">
            <v>202368.12</v>
          </cell>
          <cell r="U2759">
            <v>816.26735999999994</v>
          </cell>
          <cell r="X2759">
            <v>141657.68</v>
          </cell>
          <cell r="Y2759">
            <v>20236.810000000001</v>
          </cell>
          <cell r="AE2759">
            <v>0</v>
          </cell>
          <cell r="AF2759">
            <v>5503.8</v>
          </cell>
          <cell r="AO2759">
            <v>91.73</v>
          </cell>
          <cell r="AQ2759">
            <v>0.37</v>
          </cell>
          <cell r="AT2759">
            <v>70</v>
          </cell>
          <cell r="AU2759">
            <v>10</v>
          </cell>
          <cell r="AV2759">
            <v>1</v>
          </cell>
          <cell r="BA2759">
            <v>1</v>
          </cell>
          <cell r="BZ2759">
            <v>70</v>
          </cell>
          <cell r="CA2759">
            <v>10</v>
          </cell>
          <cell r="CS2759">
            <v>0</v>
          </cell>
          <cell r="DG2759" t="str">
            <v>)*1*60</v>
          </cell>
          <cell r="DI2759" t="str">
            <v>)*1*60</v>
          </cell>
        </row>
        <row r="2760">
          <cell r="F2760" t="str">
            <v>5.3-1101-14-1/1</v>
          </cell>
          <cell r="G2760" t="str">
            <v>Полив дорожек из шланга вручную</v>
          </cell>
          <cell r="H2760" t="str">
            <v>100 м2</v>
          </cell>
          <cell r="I2760">
            <v>36.768799999999999</v>
          </cell>
          <cell r="P2760">
            <v>14030.97</v>
          </cell>
          <cell r="S2760">
            <v>106655.26</v>
          </cell>
          <cell r="U2760">
            <v>430.19496000000004</v>
          </cell>
          <cell r="X2760">
            <v>74658.679999999993</v>
          </cell>
          <cell r="Y2760">
            <v>10665.53</v>
          </cell>
          <cell r="AE2760">
            <v>0</v>
          </cell>
          <cell r="AF2760">
            <v>2900.7</v>
          </cell>
          <cell r="AL2760">
            <v>4.24</v>
          </cell>
          <cell r="AO2760">
            <v>32.229999999999997</v>
          </cell>
          <cell r="AQ2760">
            <v>0.13</v>
          </cell>
          <cell r="AT2760">
            <v>70</v>
          </cell>
          <cell r="AU2760">
            <v>10</v>
          </cell>
          <cell r="AV2760">
            <v>1</v>
          </cell>
          <cell r="AW2760">
            <v>1</v>
          </cell>
          <cell r="BA2760">
            <v>1</v>
          </cell>
          <cell r="BC2760">
            <v>1</v>
          </cell>
          <cell r="BZ2760">
            <v>70</v>
          </cell>
          <cell r="CA2760">
            <v>10</v>
          </cell>
          <cell r="CS2760">
            <v>0</v>
          </cell>
          <cell r="DD2760" t="str">
            <v>)*1*90</v>
          </cell>
          <cell r="DG2760" t="str">
            <v>)*1*90</v>
          </cell>
          <cell r="DI2760" t="str">
            <v>)*1*90</v>
          </cell>
        </row>
        <row r="2761">
          <cell r="F2761" t="str">
            <v>21.1-25-13</v>
          </cell>
          <cell r="G2761" t="str">
            <v>Вода</v>
          </cell>
          <cell r="H2761" t="str">
            <v>м3</v>
          </cell>
          <cell r="I2761">
            <v>-330.91919999999999</v>
          </cell>
          <cell r="O2761">
            <v>-14044.21</v>
          </cell>
          <cell r="X2761">
            <v>0</v>
          </cell>
          <cell r="Y2761">
            <v>0</v>
          </cell>
          <cell r="AE2761">
            <v>0</v>
          </cell>
          <cell r="AF2761">
            <v>0</v>
          </cell>
          <cell r="AK2761">
            <v>42.44</v>
          </cell>
          <cell r="AV2761">
            <v>1</v>
          </cell>
          <cell r="AW2761">
            <v>1</v>
          </cell>
          <cell r="BC2761">
            <v>1</v>
          </cell>
          <cell r="BZ2761">
            <v>70</v>
          </cell>
          <cell r="CA2761">
            <v>10</v>
          </cell>
          <cell r="CS2761">
            <v>0</v>
          </cell>
        </row>
        <row r="2762">
          <cell r="F2762" t="str">
            <v>калькуляция</v>
          </cell>
          <cell r="G2762" t="str">
            <v>Очистка дорожек с гравийным покрытием от проросшей травы</v>
          </cell>
          <cell r="H2762" t="str">
            <v>м2</v>
          </cell>
          <cell r="I2762">
            <v>3676.88</v>
          </cell>
          <cell r="S2762">
            <v>219730.35</v>
          </cell>
          <cell r="X2762">
            <v>0</v>
          </cell>
          <cell r="Y2762">
            <v>0</v>
          </cell>
          <cell r="AE2762">
            <v>0</v>
          </cell>
          <cell r="AF2762">
            <v>59.76</v>
          </cell>
          <cell r="AO2762">
            <v>4.9800000000000004</v>
          </cell>
          <cell r="AV2762">
            <v>1</v>
          </cell>
          <cell r="BA2762">
            <v>1</v>
          </cell>
          <cell r="BZ2762">
            <v>0</v>
          </cell>
          <cell r="CA2762">
            <v>0</v>
          </cell>
          <cell r="CS2762">
            <v>0</v>
          </cell>
          <cell r="DG2762" t="str">
            <v>)*1*12</v>
          </cell>
        </row>
        <row r="2764">
          <cell r="G2764" t="str">
            <v>Содержание  садово-парковых дорожек с покрытием из гравийной крошки + вокруг МАФ( S= 3676.88 м2)</v>
          </cell>
        </row>
        <row r="2794">
          <cell r="G2794" t="str">
            <v>Содержание садово-парковых дорожных покрытий из гравийной крошки с разным уровнем уклона поверхности( S=615 м2)</v>
          </cell>
        </row>
        <row r="2798">
          <cell r="F2798" t="str">
            <v>5.3-1101-13-2/1</v>
          </cell>
          <cell r="G2798" t="str">
            <v>Подметание вручную дорожек и площадок с грунтовым и щебеночным покрытием ( с гравийным покрытием ) ( прим.)</v>
          </cell>
          <cell r="H2798" t="str">
            <v>100 м2</v>
          </cell>
          <cell r="I2798">
            <v>6.15</v>
          </cell>
          <cell r="S2798">
            <v>436914.45</v>
          </cell>
          <cell r="U2798">
            <v>1762.3440000000001</v>
          </cell>
          <cell r="X2798">
            <v>305840.12</v>
          </cell>
          <cell r="Y2798">
            <v>43691.45</v>
          </cell>
          <cell r="AE2798">
            <v>0</v>
          </cell>
          <cell r="AF2798">
            <v>71043</v>
          </cell>
          <cell r="AO2798">
            <v>59.5</v>
          </cell>
          <cell r="AQ2798">
            <v>0.24</v>
          </cell>
          <cell r="AT2798">
            <v>70</v>
          </cell>
          <cell r="AU2798">
            <v>10</v>
          </cell>
          <cell r="AV2798">
            <v>1</v>
          </cell>
          <cell r="BA2798">
            <v>1</v>
          </cell>
          <cell r="BZ2798">
            <v>70</v>
          </cell>
          <cell r="CA2798">
            <v>10</v>
          </cell>
          <cell r="CS2798">
            <v>0</v>
          </cell>
          <cell r="DG2798" t="str">
            <v>)*3*398</v>
          </cell>
          <cell r="DI2798" t="str">
            <v>)*3*398</v>
          </cell>
        </row>
        <row r="2799">
          <cell r="F2799" t="str">
            <v>5.3-1101-13-3/1</v>
          </cell>
          <cell r="G2799" t="str">
            <v>Подметание вручную дорожек и площадок в дни листопада</v>
          </cell>
          <cell r="H2799" t="str">
            <v>100 м2</v>
          </cell>
          <cell r="I2799">
            <v>6.15</v>
          </cell>
          <cell r="S2799">
            <v>33848.370000000003</v>
          </cell>
          <cell r="U2799">
            <v>136.53</v>
          </cell>
          <cell r="X2799">
            <v>23693.86</v>
          </cell>
          <cell r="Y2799">
            <v>3384.84</v>
          </cell>
          <cell r="AE2799">
            <v>0</v>
          </cell>
          <cell r="AF2799">
            <v>5503.8</v>
          </cell>
          <cell r="AO2799">
            <v>91.73</v>
          </cell>
          <cell r="AQ2799">
            <v>0.37</v>
          </cell>
          <cell r="AT2799">
            <v>70</v>
          </cell>
          <cell r="AU2799">
            <v>10</v>
          </cell>
          <cell r="AV2799">
            <v>1</v>
          </cell>
          <cell r="BA2799">
            <v>1</v>
          </cell>
          <cell r="BZ2799">
            <v>70</v>
          </cell>
          <cell r="CA2799">
            <v>10</v>
          </cell>
          <cell r="CS2799">
            <v>0</v>
          </cell>
          <cell r="DG2799" t="str">
            <v>)*1*60</v>
          </cell>
          <cell r="DI2799" t="str">
            <v>)*1*60</v>
          </cell>
        </row>
        <row r="2800">
          <cell r="F2800" t="str">
            <v>5.3-1101-14-1/1</v>
          </cell>
          <cell r="G2800" t="str">
            <v>Полив дорожек из шланга вручную</v>
          </cell>
          <cell r="H2800" t="str">
            <v>100 м2</v>
          </cell>
          <cell r="I2800">
            <v>6.15</v>
          </cell>
          <cell r="P2800">
            <v>2346.84</v>
          </cell>
          <cell r="S2800">
            <v>17839.310000000001</v>
          </cell>
          <cell r="U2800">
            <v>71.955000000000013</v>
          </cell>
          <cell r="X2800">
            <v>12487.52</v>
          </cell>
          <cell r="Y2800">
            <v>1783.93</v>
          </cell>
          <cell r="AE2800">
            <v>0</v>
          </cell>
          <cell r="AF2800">
            <v>2900.7</v>
          </cell>
          <cell r="AL2800">
            <v>4.24</v>
          </cell>
          <cell r="AO2800">
            <v>32.229999999999997</v>
          </cell>
          <cell r="AQ2800">
            <v>0.13</v>
          </cell>
          <cell r="AT2800">
            <v>70</v>
          </cell>
          <cell r="AU2800">
            <v>10</v>
          </cell>
          <cell r="AV2800">
            <v>1</v>
          </cell>
          <cell r="AW2800">
            <v>1</v>
          </cell>
          <cell r="BA2800">
            <v>1</v>
          </cell>
          <cell r="BC2800">
            <v>1</v>
          </cell>
          <cell r="BZ2800">
            <v>70</v>
          </cell>
          <cell r="CA2800">
            <v>10</v>
          </cell>
          <cell r="CS2800">
            <v>0</v>
          </cell>
          <cell r="DD2800" t="str">
            <v>)*1*90</v>
          </cell>
          <cell r="DG2800" t="str">
            <v>)*1*90</v>
          </cell>
          <cell r="DI2800" t="str">
            <v>)*1*90</v>
          </cell>
        </row>
        <row r="2801">
          <cell r="F2801" t="str">
            <v>21.1-25-13</v>
          </cell>
          <cell r="G2801" t="str">
            <v>Вода</v>
          </cell>
          <cell r="H2801" t="str">
            <v>м3</v>
          </cell>
          <cell r="I2801">
            <v>-55.35</v>
          </cell>
          <cell r="O2801">
            <v>-2349.0500000000002</v>
          </cell>
          <cell r="X2801">
            <v>0</v>
          </cell>
          <cell r="Y2801">
            <v>0</v>
          </cell>
          <cell r="AE2801">
            <v>0</v>
          </cell>
          <cell r="AF2801">
            <v>0</v>
          </cell>
          <cell r="AK2801">
            <v>42.44</v>
          </cell>
          <cell r="AV2801">
            <v>1</v>
          </cell>
          <cell r="AW2801">
            <v>1</v>
          </cell>
          <cell r="BC2801">
            <v>1</v>
          </cell>
          <cell r="BZ2801">
            <v>70</v>
          </cell>
          <cell r="CA2801">
            <v>10</v>
          </cell>
          <cell r="CS2801">
            <v>0</v>
          </cell>
        </row>
        <row r="2802">
          <cell r="F2802" t="str">
            <v>калькуляция</v>
          </cell>
          <cell r="G2802" t="str">
            <v>Очистка дорожек с гравийным покрытием от проросшей травы</v>
          </cell>
          <cell r="H2802" t="str">
            <v>м2</v>
          </cell>
          <cell r="I2802">
            <v>615</v>
          </cell>
          <cell r="S2802">
            <v>36752.400000000001</v>
          </cell>
          <cell r="X2802">
            <v>0</v>
          </cell>
          <cell r="Y2802">
            <v>0</v>
          </cell>
          <cell r="AE2802">
            <v>0</v>
          </cell>
          <cell r="AF2802">
            <v>59.76</v>
          </cell>
          <cell r="AO2802">
            <v>4.9800000000000004</v>
          </cell>
          <cell r="AV2802">
            <v>1</v>
          </cell>
          <cell r="BA2802">
            <v>1</v>
          </cell>
          <cell r="BZ2802">
            <v>0</v>
          </cell>
          <cell r="CA2802">
            <v>0</v>
          </cell>
          <cell r="CS2802">
            <v>0</v>
          </cell>
          <cell r="DG2802" t="str">
            <v>)*1*12</v>
          </cell>
        </row>
        <row r="2804">
          <cell r="G2804" t="str">
            <v>Содержание садово-парковых дорожных покрытий из гравийной крошки с разным уровнем уклона поверхности( S=615 м2)</v>
          </cell>
        </row>
        <row r="2834">
          <cell r="G2834" t="str">
            <v>Содержание эвакуационных выходов</v>
          </cell>
        </row>
        <row r="2838">
          <cell r="F2838" t="str">
            <v>5.3-1101-13-1/1</v>
          </cell>
          <cell r="G2838" t="str">
            <v>Подметание вручную дорожек и площадок с твердым покрытием( подметание лестницы )</v>
          </cell>
          <cell r="H2838" t="str">
            <v>100 м2</v>
          </cell>
          <cell r="I2838">
            <v>1.9650000000000001</v>
          </cell>
          <cell r="S2838">
            <v>54291.3</v>
          </cell>
          <cell r="U2838">
            <v>218.97960000000003</v>
          </cell>
          <cell r="X2838">
            <v>38003.910000000003</v>
          </cell>
          <cell r="Y2838">
            <v>5429.13</v>
          </cell>
          <cell r="AE2838">
            <v>0</v>
          </cell>
          <cell r="AF2838">
            <v>27629.16</v>
          </cell>
          <cell r="AO2838">
            <v>34.71</v>
          </cell>
          <cell r="AQ2838">
            <v>0.14000000000000001</v>
          </cell>
          <cell r="AT2838">
            <v>70</v>
          </cell>
          <cell r="AU2838">
            <v>10</v>
          </cell>
          <cell r="AV2838">
            <v>1</v>
          </cell>
          <cell r="BA2838">
            <v>1</v>
          </cell>
          <cell r="BZ2838">
            <v>70</v>
          </cell>
          <cell r="CA2838">
            <v>10</v>
          </cell>
          <cell r="CS2838">
            <v>0</v>
          </cell>
          <cell r="DG2838" t="str">
            <v>)*2*398</v>
          </cell>
          <cell r="DI2838" t="str">
            <v>)*2*398</v>
          </cell>
        </row>
        <row r="2839">
          <cell r="F2839" t="str">
            <v>5.3-1101-14-1/1</v>
          </cell>
          <cell r="G2839" t="str">
            <v>Полив дорожек из шланга вручную( мытье лестницы)</v>
          </cell>
          <cell r="H2839" t="str">
            <v>100 м2</v>
          </cell>
          <cell r="I2839">
            <v>1.9650000000000001</v>
          </cell>
          <cell r="P2839">
            <v>483.23</v>
          </cell>
          <cell r="S2839">
            <v>3673.25</v>
          </cell>
          <cell r="U2839">
            <v>14.8161</v>
          </cell>
          <cell r="X2839">
            <v>2571.2800000000002</v>
          </cell>
          <cell r="Y2839">
            <v>367.33</v>
          </cell>
          <cell r="AE2839">
            <v>0</v>
          </cell>
          <cell r="AF2839">
            <v>1869.34</v>
          </cell>
          <cell r="AL2839">
            <v>4.24</v>
          </cell>
          <cell r="AO2839">
            <v>32.229999999999997</v>
          </cell>
          <cell r="AQ2839">
            <v>0.13</v>
          </cell>
          <cell r="AT2839">
            <v>70</v>
          </cell>
          <cell r="AU2839">
            <v>10</v>
          </cell>
          <cell r="AV2839">
            <v>1</v>
          </cell>
          <cell r="AW2839">
            <v>1</v>
          </cell>
          <cell r="BA2839">
            <v>1</v>
          </cell>
          <cell r="BC2839">
            <v>1</v>
          </cell>
          <cell r="BZ2839">
            <v>70</v>
          </cell>
          <cell r="CA2839">
            <v>10</v>
          </cell>
          <cell r="CS2839">
            <v>0</v>
          </cell>
          <cell r="DD2839" t="str">
            <v>)*1*58</v>
          </cell>
          <cell r="DG2839" t="str">
            <v>)*1*58</v>
          </cell>
          <cell r="DI2839" t="str">
            <v>)*1*58</v>
          </cell>
        </row>
        <row r="2840">
          <cell r="F2840" t="str">
            <v>21.1-25-13</v>
          </cell>
          <cell r="G2840" t="str">
            <v>Вода</v>
          </cell>
          <cell r="H2840" t="str">
            <v>м3</v>
          </cell>
          <cell r="I2840">
            <v>-11.397</v>
          </cell>
          <cell r="O2840">
            <v>-483.69</v>
          </cell>
          <cell r="X2840">
            <v>0</v>
          </cell>
          <cell r="Y2840">
            <v>0</v>
          </cell>
          <cell r="AE2840">
            <v>0</v>
          </cell>
          <cell r="AF2840">
            <v>0</v>
          </cell>
          <cell r="AK2840">
            <v>42.44</v>
          </cell>
          <cell r="AV2840">
            <v>1</v>
          </cell>
          <cell r="AW2840">
            <v>1</v>
          </cell>
          <cell r="BC2840">
            <v>1</v>
          </cell>
          <cell r="BZ2840">
            <v>70</v>
          </cell>
          <cell r="CA2840">
            <v>10</v>
          </cell>
          <cell r="CS2840">
            <v>0</v>
          </cell>
        </row>
        <row r="2842">
          <cell r="G2842" t="str">
            <v>Содержание эвакуационных выходов</v>
          </cell>
        </row>
        <row r="2872">
          <cell r="G2872" t="str">
            <v>Северный тоннель ( S= 1534,28 м2, в т.ч. : покрытия напольные гранитные-1258,33 м2,  площадки гранитные--147,5 м2, ступени гранитные-26,95 м2,, пандус-70,0 м2, парапет-31,5 м2 )</v>
          </cell>
        </row>
        <row r="2876">
          <cell r="G2876" t="str">
            <v>Уход за напольными покрытиями ( S= 1258,33 м2 )</v>
          </cell>
        </row>
        <row r="2880">
          <cell r="F2880" t="str">
            <v>5.3-1101-15-1/1</v>
          </cell>
          <cell r="G2880" t="str">
            <v>Подметание тротуаров, придомовых и внутрибольничных проездов средствами малой механизации</v>
          </cell>
          <cell r="H2880" t="str">
            <v>1000 м2</v>
          </cell>
          <cell r="I2880">
            <v>1.2583299999999999</v>
          </cell>
          <cell r="P2880">
            <v>8503.84</v>
          </cell>
          <cell r="Q2880">
            <v>291234.14</v>
          </cell>
          <cell r="R2880">
            <v>119003.74</v>
          </cell>
          <cell r="X2880">
            <v>0</v>
          </cell>
          <cell r="Y2880">
            <v>0</v>
          </cell>
          <cell r="AE2880">
            <v>94572.76</v>
          </cell>
          <cell r="AF2880">
            <v>0</v>
          </cell>
          <cell r="AL2880">
            <v>8.49</v>
          </cell>
          <cell r="AM2880">
            <v>290.76</v>
          </cell>
          <cell r="AN2880">
            <v>118.81</v>
          </cell>
          <cell r="AV2880">
            <v>1</v>
          </cell>
          <cell r="AW2880">
            <v>1</v>
          </cell>
          <cell r="BB2880">
            <v>1</v>
          </cell>
          <cell r="BC2880">
            <v>1</v>
          </cell>
          <cell r="BS2880">
            <v>1</v>
          </cell>
          <cell r="BZ2880">
            <v>70</v>
          </cell>
          <cell r="CA2880">
            <v>10</v>
          </cell>
          <cell r="CS2880">
            <v>94572.76</v>
          </cell>
          <cell r="DD2880" t="str">
            <v>)*2*398</v>
          </cell>
          <cell r="DE2880" t="str">
            <v>)*2*398</v>
          </cell>
          <cell r="DF2880" t="str">
            <v>)*2*398</v>
          </cell>
        </row>
        <row r="2881">
          <cell r="F2881" t="str">
            <v>21.1-25-13</v>
          </cell>
          <cell r="G2881" t="str">
            <v>Вода</v>
          </cell>
          <cell r="H2881" t="str">
            <v>м3</v>
          </cell>
          <cell r="I2881">
            <v>-200.32613599999999</v>
          </cell>
          <cell r="O2881">
            <v>-8501.84</v>
          </cell>
          <cell r="X2881">
            <v>0</v>
          </cell>
          <cell r="Y2881">
            <v>0</v>
          </cell>
          <cell r="AE2881">
            <v>0</v>
          </cell>
          <cell r="AF2881">
            <v>0</v>
          </cell>
          <cell r="AK2881">
            <v>42.44</v>
          </cell>
          <cell r="AV2881">
            <v>1</v>
          </cell>
          <cell r="AW2881">
            <v>1</v>
          </cell>
          <cell r="BC2881">
            <v>1</v>
          </cell>
          <cell r="BZ2881">
            <v>70</v>
          </cell>
          <cell r="CA2881">
            <v>10</v>
          </cell>
          <cell r="CS2881">
            <v>0</v>
          </cell>
        </row>
        <row r="2882">
          <cell r="F2882" t="str">
            <v>5.3-1101-15-5/1</v>
          </cell>
          <cell r="G2882" t="str">
            <v>Мытье тротуаров, придомовых и внутрибольничных проездов средствами малой механизации</v>
          </cell>
          <cell r="H2882" t="str">
            <v>1000 м2</v>
          </cell>
          <cell r="I2882">
            <v>1.2583299999999999</v>
          </cell>
          <cell r="P2882">
            <v>488.36</v>
          </cell>
          <cell r="Q2882">
            <v>1857.5</v>
          </cell>
          <cell r="R2882">
            <v>759</v>
          </cell>
          <cell r="X2882">
            <v>0</v>
          </cell>
          <cell r="Y2882">
            <v>0</v>
          </cell>
          <cell r="AE2882">
            <v>603.17999999999995</v>
          </cell>
          <cell r="AF2882">
            <v>0</v>
          </cell>
          <cell r="AL2882">
            <v>194.05</v>
          </cell>
          <cell r="AM2882">
            <v>738.08</v>
          </cell>
          <cell r="AN2882">
            <v>301.58999999999997</v>
          </cell>
          <cell r="AV2882">
            <v>1</v>
          </cell>
          <cell r="AW2882">
            <v>1</v>
          </cell>
          <cell r="BB2882">
            <v>1</v>
          </cell>
          <cell r="BC2882">
            <v>1</v>
          </cell>
          <cell r="BS2882">
            <v>1</v>
          </cell>
          <cell r="BZ2882">
            <v>70</v>
          </cell>
          <cell r="CA2882">
            <v>10</v>
          </cell>
          <cell r="CS2882">
            <v>603.17999999999995</v>
          </cell>
          <cell r="DD2882" t="str">
            <v>)*1*2</v>
          </cell>
          <cell r="DE2882" t="str">
            <v>)*1*2</v>
          </cell>
          <cell r="DF2882" t="str">
            <v>)*1*2</v>
          </cell>
        </row>
        <row r="2883">
          <cell r="F2883" t="str">
            <v>21.1-25-13</v>
          </cell>
          <cell r="G2883" t="str">
            <v>Вода</v>
          </cell>
          <cell r="H2883" t="str">
            <v>м3</v>
          </cell>
          <cell r="I2883">
            <v>-2.8186589999999998</v>
          </cell>
          <cell r="O2883">
            <v>-119.62</v>
          </cell>
          <cell r="X2883">
            <v>0</v>
          </cell>
          <cell r="Y2883">
            <v>0</v>
          </cell>
          <cell r="AE2883">
            <v>0</v>
          </cell>
          <cell r="AF2883">
            <v>0</v>
          </cell>
          <cell r="AK2883">
            <v>42.44</v>
          </cell>
          <cell r="AV2883">
            <v>1</v>
          </cell>
          <cell r="AW2883">
            <v>1</v>
          </cell>
          <cell r="BC2883">
            <v>1</v>
          </cell>
          <cell r="BZ2883">
            <v>70</v>
          </cell>
          <cell r="CA2883">
            <v>10</v>
          </cell>
          <cell r="CS2883">
            <v>0</v>
          </cell>
        </row>
        <row r="2885">
          <cell r="G2885" t="str">
            <v>Уход за напольными покрытиями ( S= 1258,33 м2 )</v>
          </cell>
        </row>
        <row r="2915">
          <cell r="G2915" t="str">
            <v>Уход за гранитной лестницей ( S= 244,45 м2)</v>
          </cell>
        </row>
        <row r="2919">
          <cell r="F2919" t="str">
            <v>5.3-1101-13-1/1</v>
          </cell>
          <cell r="G2919" t="str">
            <v>Подметание вручную дорожек и площадок с твердым покрытием</v>
          </cell>
          <cell r="H2919" t="str">
            <v>100 м2</v>
          </cell>
          <cell r="I2919">
            <v>2.4445000000000001</v>
          </cell>
          <cell r="S2919">
            <v>67539.48</v>
          </cell>
          <cell r="U2919">
            <v>272.41508000000005</v>
          </cell>
          <cell r="X2919">
            <v>47277.64</v>
          </cell>
          <cell r="Y2919">
            <v>6753.95</v>
          </cell>
          <cell r="AE2919">
            <v>0</v>
          </cell>
          <cell r="AF2919">
            <v>27629.16</v>
          </cell>
          <cell r="AO2919">
            <v>34.71</v>
          </cell>
          <cell r="AQ2919">
            <v>0.14000000000000001</v>
          </cell>
          <cell r="AT2919">
            <v>70</v>
          </cell>
          <cell r="AU2919">
            <v>10</v>
          </cell>
          <cell r="AV2919">
            <v>1</v>
          </cell>
          <cell r="BA2919">
            <v>1</v>
          </cell>
          <cell r="BZ2919">
            <v>70</v>
          </cell>
          <cell r="CA2919">
            <v>10</v>
          </cell>
          <cell r="CS2919">
            <v>0</v>
          </cell>
          <cell r="DG2919" t="str">
            <v>)*2*398</v>
          </cell>
          <cell r="DI2919" t="str">
            <v>)*2*398</v>
          </cell>
        </row>
        <row r="2920">
          <cell r="F2920" t="str">
            <v>5.3-1101-14-1/1</v>
          </cell>
          <cell r="G2920" t="str">
            <v>Полив дорожек из шланга вручную( промывка пролета)</v>
          </cell>
          <cell r="H2920" t="str">
            <v>100 м2</v>
          </cell>
          <cell r="I2920">
            <v>2.4445000000000001</v>
          </cell>
          <cell r="P2920">
            <v>601.15</v>
          </cell>
          <cell r="S2920">
            <v>4569.6000000000004</v>
          </cell>
          <cell r="U2920">
            <v>18.431530000000002</v>
          </cell>
          <cell r="X2920">
            <v>3198.72</v>
          </cell>
          <cell r="Y2920">
            <v>456.96</v>
          </cell>
          <cell r="AE2920">
            <v>0</v>
          </cell>
          <cell r="AF2920">
            <v>1869.34</v>
          </cell>
          <cell r="AL2920">
            <v>4.24</v>
          </cell>
          <cell r="AO2920">
            <v>32.229999999999997</v>
          </cell>
          <cell r="AQ2920">
            <v>0.13</v>
          </cell>
          <cell r="AT2920">
            <v>70</v>
          </cell>
          <cell r="AU2920">
            <v>10</v>
          </cell>
          <cell r="AV2920">
            <v>1</v>
          </cell>
          <cell r="AW2920">
            <v>1</v>
          </cell>
          <cell r="BA2920">
            <v>1</v>
          </cell>
          <cell r="BC2920">
            <v>1</v>
          </cell>
          <cell r="BZ2920">
            <v>70</v>
          </cell>
          <cell r="CA2920">
            <v>10</v>
          </cell>
          <cell r="CS2920">
            <v>0</v>
          </cell>
          <cell r="DD2920" t="str">
            <v>)*1*58</v>
          </cell>
          <cell r="DG2920" t="str">
            <v>)*1*58</v>
          </cell>
          <cell r="DI2920" t="str">
            <v>)*1*58</v>
          </cell>
        </row>
        <row r="2921">
          <cell r="F2921" t="str">
            <v>21.1-25-13</v>
          </cell>
          <cell r="G2921" t="str">
            <v>Вода</v>
          </cell>
          <cell r="H2921" t="str">
            <v>м3</v>
          </cell>
          <cell r="I2921">
            <v>-14.178100000000002</v>
          </cell>
          <cell r="O2921">
            <v>-601.72</v>
          </cell>
          <cell r="X2921">
            <v>0</v>
          </cell>
          <cell r="Y2921">
            <v>0</v>
          </cell>
          <cell r="AE2921">
            <v>0</v>
          </cell>
          <cell r="AF2921">
            <v>0</v>
          </cell>
          <cell r="AK2921">
            <v>42.44</v>
          </cell>
          <cell r="AV2921">
            <v>1</v>
          </cell>
          <cell r="AW2921">
            <v>1</v>
          </cell>
          <cell r="BC2921">
            <v>1</v>
          </cell>
          <cell r="BZ2921">
            <v>70</v>
          </cell>
          <cell r="CA2921">
            <v>10</v>
          </cell>
          <cell r="CS2921">
            <v>0</v>
          </cell>
        </row>
        <row r="2923">
          <cell r="G2923" t="str">
            <v>Уход за гранитной лестницей ( S= 244,45 м2)</v>
          </cell>
        </row>
        <row r="2953">
          <cell r="G2953" t="str">
            <v>Уход за  парапетом</v>
          </cell>
        </row>
        <row r="2957">
          <cell r="F2957" t="str">
            <v>5.3-1101-5-1/1</v>
          </cell>
          <cell r="G2957" t="str">
            <v>Промывка оград железобетонных от пыли и грязи водой под напором( 31,5м2)( прим.)</v>
          </cell>
          <cell r="H2957" t="str">
            <v>100 м2</v>
          </cell>
          <cell r="I2957">
            <v>0.315</v>
          </cell>
          <cell r="P2957">
            <v>32.08</v>
          </cell>
          <cell r="Q2957">
            <v>2086.38</v>
          </cell>
          <cell r="R2957">
            <v>769.47</v>
          </cell>
          <cell r="S2957">
            <v>321.77</v>
          </cell>
          <cell r="U2957">
            <v>1.2978000000000001</v>
          </cell>
          <cell r="X2957">
            <v>225.24</v>
          </cell>
          <cell r="Y2957">
            <v>32.18</v>
          </cell>
          <cell r="AE2957">
            <v>2442.7600000000002</v>
          </cell>
          <cell r="AF2957">
            <v>1021.48</v>
          </cell>
          <cell r="AL2957">
            <v>25.46</v>
          </cell>
          <cell r="AM2957">
            <v>1655.86</v>
          </cell>
          <cell r="AN2957">
            <v>610.69000000000005</v>
          </cell>
          <cell r="AO2957">
            <v>255.37</v>
          </cell>
          <cell r="AQ2957">
            <v>1.03</v>
          </cell>
          <cell r="AT2957">
            <v>70</v>
          </cell>
          <cell r="AU2957">
            <v>10</v>
          </cell>
          <cell r="AV2957">
            <v>1</v>
          </cell>
          <cell r="AW2957">
            <v>1</v>
          </cell>
          <cell r="BA2957">
            <v>1</v>
          </cell>
          <cell r="BB2957">
            <v>1</v>
          </cell>
          <cell r="BC2957">
            <v>1</v>
          </cell>
          <cell r="BS2957">
            <v>1</v>
          </cell>
          <cell r="BZ2957">
            <v>70</v>
          </cell>
          <cell r="CA2957">
            <v>10</v>
          </cell>
          <cell r="CS2957">
            <v>2442.7600000000002</v>
          </cell>
          <cell r="DD2957" t="str">
            <v>)*1*4</v>
          </cell>
          <cell r="DE2957" t="str">
            <v>)*1*4</v>
          </cell>
          <cell r="DF2957" t="str">
            <v>)*1*4</v>
          </cell>
          <cell r="DG2957" t="str">
            <v>)*1*4</v>
          </cell>
          <cell r="DI2957" t="str">
            <v>)*1*4</v>
          </cell>
        </row>
        <row r="2958">
          <cell r="F2958" t="str">
            <v>21.1-25-13</v>
          </cell>
          <cell r="G2958" t="str">
            <v>Вода</v>
          </cell>
          <cell r="H2958" t="str">
            <v>м3</v>
          </cell>
          <cell r="I2958">
            <v>-0.75600000000000001</v>
          </cell>
          <cell r="O2958">
            <v>-32.08</v>
          </cell>
          <cell r="X2958">
            <v>0</v>
          </cell>
          <cell r="Y2958">
            <v>0</v>
          </cell>
          <cell r="AE2958">
            <v>0</v>
          </cell>
          <cell r="AF2958">
            <v>0</v>
          </cell>
          <cell r="AK2958">
            <v>42.44</v>
          </cell>
          <cell r="AV2958">
            <v>1</v>
          </cell>
          <cell r="AW2958">
            <v>1</v>
          </cell>
          <cell r="BC2958">
            <v>1</v>
          </cell>
          <cell r="BZ2958">
            <v>70</v>
          </cell>
          <cell r="CA2958">
            <v>10</v>
          </cell>
          <cell r="CS2958">
            <v>0</v>
          </cell>
        </row>
        <row r="2959">
          <cell r="F2959" t="str">
            <v>5.3-1101-7-1/1</v>
          </cell>
          <cell r="G2959" t="str">
            <v>Протирка оград железобетонных от пыли и грязи( протирка парапета)( прим.)</v>
          </cell>
          <cell r="H2959" t="str">
            <v>100 м2</v>
          </cell>
          <cell r="I2959">
            <v>0.315</v>
          </cell>
          <cell r="P2959">
            <v>13.66</v>
          </cell>
          <cell r="S2959">
            <v>4529.67</v>
          </cell>
          <cell r="U2959">
            <v>18.27</v>
          </cell>
          <cell r="X2959">
            <v>3170.77</v>
          </cell>
          <cell r="Y2959">
            <v>452.97</v>
          </cell>
          <cell r="AE2959">
            <v>0</v>
          </cell>
          <cell r="AF2959">
            <v>14379.92</v>
          </cell>
          <cell r="AL2959">
            <v>5.42</v>
          </cell>
          <cell r="AO2959">
            <v>1797.49</v>
          </cell>
          <cell r="AQ2959">
            <v>7.25</v>
          </cell>
          <cell r="AT2959">
            <v>70</v>
          </cell>
          <cell r="AU2959">
            <v>10</v>
          </cell>
          <cell r="AV2959">
            <v>1</v>
          </cell>
          <cell r="AW2959">
            <v>1</v>
          </cell>
          <cell r="BA2959">
            <v>1</v>
          </cell>
          <cell r="BC2959">
            <v>1</v>
          </cell>
          <cell r="BZ2959">
            <v>70</v>
          </cell>
          <cell r="CA2959">
            <v>10</v>
          </cell>
          <cell r="CS2959">
            <v>0</v>
          </cell>
          <cell r="DD2959" t="str">
            <v>)*1*8</v>
          </cell>
          <cell r="DG2959" t="str">
            <v>)*1*8</v>
          </cell>
          <cell r="DI2959" t="str">
            <v>)*1*8</v>
          </cell>
        </row>
        <row r="2960">
          <cell r="F2960" t="str">
            <v>21.1-25-13</v>
          </cell>
          <cell r="G2960" t="str">
            <v>Вода</v>
          </cell>
          <cell r="H2960" t="str">
            <v>м3</v>
          </cell>
          <cell r="I2960">
            <v>-5.04E-2</v>
          </cell>
          <cell r="O2960">
            <v>-2.14</v>
          </cell>
          <cell r="X2960">
            <v>0</v>
          </cell>
          <cell r="Y2960">
            <v>0</v>
          </cell>
          <cell r="AE2960">
            <v>0</v>
          </cell>
          <cell r="AF2960">
            <v>0</v>
          </cell>
          <cell r="AK2960">
            <v>42.44</v>
          </cell>
          <cell r="AV2960">
            <v>1</v>
          </cell>
          <cell r="AW2960">
            <v>1</v>
          </cell>
          <cell r="BC2960">
            <v>1</v>
          </cell>
          <cell r="BZ2960">
            <v>70</v>
          </cell>
          <cell r="CA2960">
            <v>10</v>
          </cell>
          <cell r="CS2960">
            <v>0</v>
          </cell>
        </row>
        <row r="2962">
          <cell r="G2962" t="str">
            <v>Уход за  парапетом</v>
          </cell>
        </row>
        <row r="2992">
          <cell r="G2992" t="str">
            <v>Северный тоннель ( S= 1534,28 м2, в т.ч. : покрытия напольные гранитные-1258,33 м2,  площадки гранитные--147,5 м2, ступени гранитные-26,95 м2,, пандус-70,0 м2, парапет-31,5 м2 )</v>
          </cell>
        </row>
        <row r="3022">
          <cell r="G3022" t="str">
            <v>Содержание парковых лестниц ( S=3084 м2 )</v>
          </cell>
        </row>
        <row r="3026">
          <cell r="F3026" t="str">
            <v>5.3-1101-13-1/1</v>
          </cell>
          <cell r="G3026" t="str">
            <v>Подметание вручную дорожек и площадок с твердым покрытием</v>
          </cell>
          <cell r="H3026" t="str">
            <v>100 м2</v>
          </cell>
          <cell r="I3026">
            <v>30.84</v>
          </cell>
          <cell r="S3026">
            <v>852083.29</v>
          </cell>
          <cell r="U3026">
            <v>3436.8096000000005</v>
          </cell>
          <cell r="X3026">
            <v>596458.30000000005</v>
          </cell>
          <cell r="Y3026">
            <v>85208.33</v>
          </cell>
          <cell r="AE3026">
            <v>0</v>
          </cell>
          <cell r="AF3026">
            <v>27629.16</v>
          </cell>
          <cell r="AO3026">
            <v>34.71</v>
          </cell>
          <cell r="AQ3026">
            <v>0.14000000000000001</v>
          </cell>
          <cell r="AT3026">
            <v>70</v>
          </cell>
          <cell r="AU3026">
            <v>10</v>
          </cell>
          <cell r="AV3026">
            <v>1</v>
          </cell>
          <cell r="BA3026">
            <v>1</v>
          </cell>
          <cell r="BZ3026">
            <v>70</v>
          </cell>
          <cell r="CA3026">
            <v>10</v>
          </cell>
          <cell r="CS3026">
            <v>0</v>
          </cell>
          <cell r="DG3026" t="str">
            <v>)*2*398</v>
          </cell>
          <cell r="DI3026" t="str">
            <v>)*2*398</v>
          </cell>
        </row>
        <row r="3027">
          <cell r="F3027" t="str">
            <v>5.3-1101-14-1/1</v>
          </cell>
          <cell r="G3027" t="str">
            <v>Полив дорожек из шланга вручную( промывка пролета)</v>
          </cell>
          <cell r="H3027" t="str">
            <v>100 м2</v>
          </cell>
          <cell r="I3027">
            <v>30.84</v>
          </cell>
          <cell r="P3027">
            <v>7584.17</v>
          </cell>
          <cell r="S3027">
            <v>57650.45</v>
          </cell>
          <cell r="U3027">
            <v>232.53360000000001</v>
          </cell>
          <cell r="X3027">
            <v>40355.32</v>
          </cell>
          <cell r="Y3027">
            <v>5765.05</v>
          </cell>
          <cell r="AE3027">
            <v>0</v>
          </cell>
          <cell r="AF3027">
            <v>1869.34</v>
          </cell>
          <cell r="AL3027">
            <v>4.24</v>
          </cell>
          <cell r="AO3027">
            <v>32.229999999999997</v>
          </cell>
          <cell r="AQ3027">
            <v>0.13</v>
          </cell>
          <cell r="AT3027">
            <v>70</v>
          </cell>
          <cell r="AU3027">
            <v>10</v>
          </cell>
          <cell r="AV3027">
            <v>1</v>
          </cell>
          <cell r="AW3027">
            <v>1</v>
          </cell>
          <cell r="BA3027">
            <v>1</v>
          </cell>
          <cell r="BC3027">
            <v>1</v>
          </cell>
          <cell r="BZ3027">
            <v>70</v>
          </cell>
          <cell r="CA3027">
            <v>10</v>
          </cell>
          <cell r="CS3027">
            <v>0</v>
          </cell>
          <cell r="DD3027" t="str">
            <v>)*1*58</v>
          </cell>
          <cell r="DG3027" t="str">
            <v>)*1*58</v>
          </cell>
          <cell r="DI3027" t="str">
            <v>)*1*58</v>
          </cell>
        </row>
        <row r="3028">
          <cell r="F3028" t="str">
            <v>21.1-25-13</v>
          </cell>
          <cell r="G3028" t="str">
            <v>Вода</v>
          </cell>
          <cell r="H3028" t="str">
            <v>м3</v>
          </cell>
          <cell r="I3028">
            <v>-178.87200000000001</v>
          </cell>
          <cell r="O3028">
            <v>-7591.33</v>
          </cell>
          <cell r="X3028">
            <v>0</v>
          </cell>
          <cell r="Y3028">
            <v>0</v>
          </cell>
          <cell r="AE3028">
            <v>0</v>
          </cell>
          <cell r="AF3028">
            <v>0</v>
          </cell>
          <cell r="AK3028">
            <v>42.44</v>
          </cell>
          <cell r="AV3028">
            <v>1</v>
          </cell>
          <cell r="AW3028">
            <v>1</v>
          </cell>
          <cell r="BC3028">
            <v>1</v>
          </cell>
          <cell r="BZ3028">
            <v>70</v>
          </cell>
          <cell r="CA3028">
            <v>10</v>
          </cell>
          <cell r="CS3028">
            <v>0</v>
          </cell>
        </row>
        <row r="3030">
          <cell r="G3030" t="str">
            <v>Содержание парковых лестниц ( S=3084 м2 )</v>
          </cell>
        </row>
        <row r="3060">
          <cell r="G3060" t="str">
            <v>Содержание  лавочек  " Большого амфитеатра " и " Малого амфитеатра" из бруса ( Sобщая = 613,69 м2, ;в т.ч. S=367,35 м2-лавочки " Большого амфитеатра", S= 246,34 м2- лавочки "Малого амфитеатра", S= 831,77 м2-гранитная облицовка двух амфитеатров ).</v>
          </cell>
        </row>
        <row r="3064">
          <cell r="F3064" t="str">
            <v>5.3-1101-10-1/1</v>
          </cell>
          <cell r="G3064" t="str">
            <v>Протирка садовых диванов и скамеек</v>
          </cell>
          <cell r="H3064" t="str">
            <v>100 м2</v>
          </cell>
          <cell r="I3064">
            <v>6.1368999999999998</v>
          </cell>
          <cell r="P3064">
            <v>2195.29</v>
          </cell>
          <cell r="S3064">
            <v>1054412.46</v>
          </cell>
          <cell r="U3064">
            <v>4252.8716999999997</v>
          </cell>
          <cell r="X3064">
            <v>738088.72</v>
          </cell>
          <cell r="Y3064">
            <v>105441.25</v>
          </cell>
          <cell r="AE3064">
            <v>0</v>
          </cell>
          <cell r="AF3064">
            <v>171815.16</v>
          </cell>
          <cell r="AL3064">
            <v>2.71</v>
          </cell>
          <cell r="AO3064">
            <v>1301.6300000000001</v>
          </cell>
          <cell r="AQ3064">
            <v>5.25</v>
          </cell>
          <cell r="AT3064">
            <v>70</v>
          </cell>
          <cell r="AU3064">
            <v>10</v>
          </cell>
          <cell r="AV3064">
            <v>1</v>
          </cell>
          <cell r="AW3064">
            <v>1</v>
          </cell>
          <cell r="BA3064">
            <v>1</v>
          </cell>
          <cell r="BC3064">
            <v>1</v>
          </cell>
          <cell r="BZ3064">
            <v>70</v>
          </cell>
          <cell r="CA3064">
            <v>10</v>
          </cell>
          <cell r="CS3064">
            <v>0</v>
          </cell>
          <cell r="DD3064" t="str">
            <v>)*1*132</v>
          </cell>
          <cell r="DG3064" t="str">
            <v>)*1*132</v>
          </cell>
          <cell r="DI3064" t="str">
            <v>)*1*132</v>
          </cell>
        </row>
        <row r="3065">
          <cell r="F3065" t="str">
            <v>21.1-25-13</v>
          </cell>
          <cell r="G3065" t="str">
            <v>Вода</v>
          </cell>
          <cell r="H3065" t="str">
            <v>м3</v>
          </cell>
          <cell r="I3065">
            <v>-8.1007079999999991</v>
          </cell>
          <cell r="O3065">
            <v>-343.79</v>
          </cell>
          <cell r="X3065">
            <v>0</v>
          </cell>
          <cell r="Y3065">
            <v>0</v>
          </cell>
          <cell r="AE3065">
            <v>0</v>
          </cell>
          <cell r="AF3065">
            <v>0</v>
          </cell>
          <cell r="AK3065">
            <v>42.44</v>
          </cell>
          <cell r="AV3065">
            <v>1</v>
          </cell>
          <cell r="AW3065">
            <v>1</v>
          </cell>
          <cell r="BC3065">
            <v>1</v>
          </cell>
          <cell r="BZ3065">
            <v>70</v>
          </cell>
          <cell r="CA3065">
            <v>10</v>
          </cell>
          <cell r="CS3065">
            <v>0</v>
          </cell>
        </row>
        <row r="3066">
          <cell r="F3066" t="str">
            <v>5.3-1101-9-1/1</v>
          </cell>
          <cell r="G3066" t="str">
            <v>Мытье садовых диванов и скамеек</v>
          </cell>
          <cell r="H3066" t="str">
            <v>100 м2</v>
          </cell>
          <cell r="I3066">
            <v>6.1368999999999998</v>
          </cell>
          <cell r="P3066">
            <v>399.14</v>
          </cell>
          <cell r="S3066">
            <v>105167.81</v>
          </cell>
          <cell r="U3066">
            <v>424.18252799999999</v>
          </cell>
          <cell r="X3066">
            <v>73617.47</v>
          </cell>
          <cell r="Y3066">
            <v>10516.78</v>
          </cell>
          <cell r="AE3066">
            <v>0</v>
          </cell>
          <cell r="AF3066">
            <v>17136.96</v>
          </cell>
          <cell r="AL3066">
            <v>5.42</v>
          </cell>
          <cell r="AO3066">
            <v>1428.08</v>
          </cell>
          <cell r="AQ3066">
            <v>5.76</v>
          </cell>
          <cell r="AT3066">
            <v>70</v>
          </cell>
          <cell r="AU3066">
            <v>10</v>
          </cell>
          <cell r="AV3066">
            <v>1</v>
          </cell>
          <cell r="AW3066">
            <v>1</v>
          </cell>
          <cell r="BA3066">
            <v>1</v>
          </cell>
          <cell r="BC3066">
            <v>1</v>
          </cell>
          <cell r="BZ3066">
            <v>70</v>
          </cell>
          <cell r="CA3066">
            <v>10</v>
          </cell>
          <cell r="CS3066">
            <v>0</v>
          </cell>
          <cell r="DD3066" t="str">
            <v>)*1*12</v>
          </cell>
          <cell r="DG3066" t="str">
            <v>)*1*12</v>
          </cell>
          <cell r="DI3066" t="str">
            <v>)*1*12</v>
          </cell>
        </row>
        <row r="3067">
          <cell r="F3067" t="str">
            <v>21.1-25-13</v>
          </cell>
          <cell r="G3067" t="str">
            <v>Вода</v>
          </cell>
          <cell r="H3067" t="str">
            <v>м3</v>
          </cell>
          <cell r="I3067">
            <v>-1.4728559999999997</v>
          </cell>
          <cell r="O3067">
            <v>-62.51</v>
          </cell>
          <cell r="X3067">
            <v>0</v>
          </cell>
          <cell r="Y3067">
            <v>0</v>
          </cell>
          <cell r="AE3067">
            <v>0</v>
          </cell>
          <cell r="AF3067">
            <v>0</v>
          </cell>
          <cell r="AK3067">
            <v>42.44</v>
          </cell>
          <cell r="AV3067">
            <v>1</v>
          </cell>
          <cell r="AW3067">
            <v>1</v>
          </cell>
          <cell r="BC3067">
            <v>1</v>
          </cell>
          <cell r="BZ3067">
            <v>70</v>
          </cell>
          <cell r="CA3067">
            <v>10</v>
          </cell>
          <cell r="CS3067">
            <v>0</v>
          </cell>
        </row>
        <row r="3068">
          <cell r="F3068" t="str">
            <v>5.3-1101-5-1/1</v>
          </cell>
          <cell r="G3068" t="str">
            <v>Промывка оград железобетонных от пыли и грязи водой под напором( гранитная облицовка двух амфитеатров)прим.</v>
          </cell>
          <cell r="H3068" t="str">
            <v>100 м2</v>
          </cell>
          <cell r="I3068">
            <v>8.3177000000000003</v>
          </cell>
          <cell r="P3068">
            <v>847.07</v>
          </cell>
          <cell r="Q3068">
            <v>55091.79</v>
          </cell>
          <cell r="R3068">
            <v>20318.14</v>
          </cell>
          <cell r="S3068">
            <v>8496.36</v>
          </cell>
          <cell r="U3068">
            <v>34.268924000000005</v>
          </cell>
          <cell r="X3068">
            <v>5947.45</v>
          </cell>
          <cell r="Y3068">
            <v>849.64</v>
          </cell>
          <cell r="AE3068">
            <v>2442.7600000000002</v>
          </cell>
          <cell r="AF3068">
            <v>1021.48</v>
          </cell>
          <cell r="AL3068">
            <v>25.46</v>
          </cell>
          <cell r="AM3068">
            <v>1655.86</v>
          </cell>
          <cell r="AN3068">
            <v>610.69000000000005</v>
          </cell>
          <cell r="AO3068">
            <v>255.37</v>
          </cell>
          <cell r="AQ3068">
            <v>1.03</v>
          </cell>
          <cell r="AT3068">
            <v>70</v>
          </cell>
          <cell r="AU3068">
            <v>10</v>
          </cell>
          <cell r="AV3068">
            <v>1</v>
          </cell>
          <cell r="AW3068">
            <v>1</v>
          </cell>
          <cell r="BA3068">
            <v>1</v>
          </cell>
          <cell r="BB3068">
            <v>1</v>
          </cell>
          <cell r="BC3068">
            <v>1</v>
          </cell>
          <cell r="BS3068">
            <v>1</v>
          </cell>
          <cell r="BZ3068">
            <v>70</v>
          </cell>
          <cell r="CA3068">
            <v>10</v>
          </cell>
          <cell r="CS3068">
            <v>2442.7600000000002</v>
          </cell>
          <cell r="DD3068" t="str">
            <v>)*1*4</v>
          </cell>
          <cell r="DE3068" t="str">
            <v>)*1*4</v>
          </cell>
          <cell r="DF3068" t="str">
            <v>)*1*4</v>
          </cell>
          <cell r="DG3068" t="str">
            <v>)*1*4</v>
          </cell>
          <cell r="DI3068" t="str">
            <v>)*1*4</v>
          </cell>
        </row>
        <row r="3069">
          <cell r="F3069" t="str">
            <v>5.3-1101-7-1/1</v>
          </cell>
          <cell r="G3069" t="str">
            <v>Протирка оград железобетонных от пыли и грязи( гранитная облицовка двух амфитеатров)прим.</v>
          </cell>
          <cell r="H3069" t="str">
            <v>100 м2</v>
          </cell>
          <cell r="I3069">
            <v>8.3177000000000003</v>
          </cell>
          <cell r="P3069">
            <v>450.82</v>
          </cell>
          <cell r="S3069">
            <v>149509.82999999999</v>
          </cell>
          <cell r="U3069">
            <v>603.03325000000007</v>
          </cell>
          <cell r="X3069">
            <v>104656.88</v>
          </cell>
          <cell r="Y3069">
            <v>14950.98</v>
          </cell>
          <cell r="AE3069">
            <v>0</v>
          </cell>
          <cell r="AF3069">
            <v>17974.900000000001</v>
          </cell>
          <cell r="AL3069">
            <v>5.42</v>
          </cell>
          <cell r="AO3069">
            <v>1797.49</v>
          </cell>
          <cell r="AQ3069">
            <v>7.25</v>
          </cell>
          <cell r="AT3069">
            <v>70</v>
          </cell>
          <cell r="AU3069">
            <v>10</v>
          </cell>
          <cell r="AV3069">
            <v>1</v>
          </cell>
          <cell r="AW3069">
            <v>1</v>
          </cell>
          <cell r="BA3069">
            <v>1</v>
          </cell>
          <cell r="BC3069">
            <v>1</v>
          </cell>
          <cell r="BZ3069">
            <v>70</v>
          </cell>
          <cell r="CA3069">
            <v>10</v>
          </cell>
          <cell r="CS3069">
            <v>0</v>
          </cell>
          <cell r="DD3069" t="str">
            <v>)*1*10</v>
          </cell>
          <cell r="DG3069" t="str">
            <v>)*1*10</v>
          </cell>
          <cell r="DI3069" t="str">
            <v>)*1*10</v>
          </cell>
        </row>
        <row r="3071">
          <cell r="G3071" t="str">
            <v>Содержание  лавочек  " Большого амфитеатра " и " Малого амфитеатра" из бруса ( Sобщая = 613,69 м2, ;в т.ч. S=367,35 м2-лавочки " Большого амфитеатра", S= 246,34 м2- лавочки "Малого амфитеатра", S= 831,77 м2-гранитная облицовка двух амфитеатров ).</v>
          </cell>
        </row>
        <row r="3101">
          <cell r="G3101" t="str">
            <v>Содержание сценической площадки с покрытием террасной доской( S=545 м2 ).</v>
          </cell>
        </row>
        <row r="3105">
          <cell r="F3105" t="str">
            <v>5.3-1101-13-1/1</v>
          </cell>
          <cell r="G3105" t="str">
            <v>Подметание вручную дорожек и площадок с твердым покрытием</v>
          </cell>
          <cell r="H3105" t="str">
            <v>100 м2</v>
          </cell>
          <cell r="I3105">
            <v>5.45</v>
          </cell>
          <cell r="S3105">
            <v>150578.92000000001</v>
          </cell>
          <cell r="U3105">
            <v>607.34800000000007</v>
          </cell>
          <cell r="X3105">
            <v>105405.24</v>
          </cell>
          <cell r="Y3105">
            <v>15057.89</v>
          </cell>
          <cell r="AE3105">
            <v>0</v>
          </cell>
          <cell r="AF3105">
            <v>27629.16</v>
          </cell>
          <cell r="AO3105">
            <v>34.71</v>
          </cell>
          <cell r="AQ3105">
            <v>0.14000000000000001</v>
          </cell>
          <cell r="AT3105">
            <v>70</v>
          </cell>
          <cell r="AU3105">
            <v>10</v>
          </cell>
          <cell r="AV3105">
            <v>1</v>
          </cell>
          <cell r="BA3105">
            <v>1</v>
          </cell>
          <cell r="BZ3105">
            <v>70</v>
          </cell>
          <cell r="CA3105">
            <v>10</v>
          </cell>
          <cell r="CS3105">
            <v>0</v>
          </cell>
          <cell r="DG3105" t="str">
            <v>)*2*398</v>
          </cell>
          <cell r="DI3105" t="str">
            <v>)*2*398</v>
          </cell>
        </row>
        <row r="3106">
          <cell r="F3106" t="str">
            <v>5.3-1101-14-1/1</v>
          </cell>
          <cell r="G3106" t="str">
            <v>Полив дорожек из шланга вручную( мытье поверхности)</v>
          </cell>
          <cell r="H3106" t="str">
            <v>100 м2</v>
          </cell>
          <cell r="I3106">
            <v>5.45</v>
          </cell>
          <cell r="P3106">
            <v>1340.26</v>
          </cell>
          <cell r="S3106">
            <v>10187.9</v>
          </cell>
          <cell r="U3106">
            <v>41.093000000000004</v>
          </cell>
          <cell r="X3106">
            <v>7131.53</v>
          </cell>
          <cell r="Y3106">
            <v>1018.79</v>
          </cell>
          <cell r="AE3106">
            <v>0</v>
          </cell>
          <cell r="AF3106">
            <v>1869.34</v>
          </cell>
          <cell r="AL3106">
            <v>4.24</v>
          </cell>
          <cell r="AO3106">
            <v>32.229999999999997</v>
          </cell>
          <cell r="AQ3106">
            <v>0.13</v>
          </cell>
          <cell r="AT3106">
            <v>70</v>
          </cell>
          <cell r="AU3106">
            <v>10</v>
          </cell>
          <cell r="AV3106">
            <v>1</v>
          </cell>
          <cell r="AW3106">
            <v>1</v>
          </cell>
          <cell r="BA3106">
            <v>1</v>
          </cell>
          <cell r="BC3106">
            <v>1</v>
          </cell>
          <cell r="BZ3106">
            <v>70</v>
          </cell>
          <cell r="CA3106">
            <v>10</v>
          </cell>
          <cell r="CS3106">
            <v>0</v>
          </cell>
          <cell r="DD3106" t="str">
            <v>)*1*58</v>
          </cell>
          <cell r="DG3106" t="str">
            <v>)*1*58</v>
          </cell>
          <cell r="DI3106" t="str">
            <v>)*1*58</v>
          </cell>
        </row>
        <row r="3107">
          <cell r="F3107" t="str">
            <v>21.1-25-13</v>
          </cell>
          <cell r="G3107" t="str">
            <v>Вода</v>
          </cell>
          <cell r="H3107" t="str">
            <v>м3</v>
          </cell>
          <cell r="I3107">
            <v>-31.61</v>
          </cell>
          <cell r="O3107">
            <v>-1341.53</v>
          </cell>
          <cell r="X3107">
            <v>0</v>
          </cell>
          <cell r="Y3107">
            <v>0</v>
          </cell>
          <cell r="AE3107">
            <v>0</v>
          </cell>
          <cell r="AF3107">
            <v>0</v>
          </cell>
          <cell r="AK3107">
            <v>42.44</v>
          </cell>
          <cell r="AV3107">
            <v>1</v>
          </cell>
          <cell r="AW3107">
            <v>1</v>
          </cell>
          <cell r="BC3107">
            <v>1</v>
          </cell>
          <cell r="BZ3107">
            <v>70</v>
          </cell>
          <cell r="CA3107">
            <v>10</v>
          </cell>
          <cell r="CS3107">
            <v>0</v>
          </cell>
        </row>
        <row r="3109">
          <cell r="G3109" t="str">
            <v>Содержание сценической площадки с покрытием террасной доской( S=545 м2 ).</v>
          </cell>
        </row>
        <row r="3139">
          <cell r="G3139" t="str">
            <v>Содержание покрытий террасной доской ( S= 313 м2; 195 м2-террасная доска Восход верх, 118 м2-гастроцентр верх)</v>
          </cell>
        </row>
        <row r="3143">
          <cell r="F3143" t="str">
            <v>5.3-1101-13-1/1</v>
          </cell>
          <cell r="G3143" t="str">
            <v>Подметание вручную дорожек и площадок с твердым покрытием</v>
          </cell>
          <cell r="H3143" t="str">
            <v>100 м2</v>
          </cell>
          <cell r="I3143">
            <v>3.13</v>
          </cell>
          <cell r="S3143">
            <v>86479.27</v>
          </cell>
          <cell r="U3143">
            <v>348.80720000000002</v>
          </cell>
          <cell r="X3143">
            <v>60535.49</v>
          </cell>
          <cell r="Y3143">
            <v>8647.93</v>
          </cell>
          <cell r="AE3143">
            <v>0</v>
          </cell>
          <cell r="AF3143">
            <v>27629.16</v>
          </cell>
          <cell r="AO3143">
            <v>34.71</v>
          </cell>
          <cell r="AQ3143">
            <v>0.14000000000000001</v>
          </cell>
          <cell r="AT3143">
            <v>70</v>
          </cell>
          <cell r="AU3143">
            <v>10</v>
          </cell>
          <cell r="AV3143">
            <v>1</v>
          </cell>
          <cell r="BA3143">
            <v>1</v>
          </cell>
          <cell r="BZ3143">
            <v>70</v>
          </cell>
          <cell r="CA3143">
            <v>10</v>
          </cell>
          <cell r="CS3143">
            <v>0</v>
          </cell>
          <cell r="DG3143" t="str">
            <v>)*2*398</v>
          </cell>
          <cell r="DI3143" t="str">
            <v>)*2*398</v>
          </cell>
        </row>
        <row r="3144">
          <cell r="F3144" t="str">
            <v>5.3-1101-14-1/1</v>
          </cell>
          <cell r="G3144" t="str">
            <v>Полив дорожек из шланга вручную( мытье поверхности)</v>
          </cell>
          <cell r="H3144" t="str">
            <v>100 м2</v>
          </cell>
          <cell r="I3144">
            <v>3.13</v>
          </cell>
          <cell r="P3144">
            <v>769.73</v>
          </cell>
          <cell r="S3144">
            <v>5851.03</v>
          </cell>
          <cell r="U3144">
            <v>23.600200000000001</v>
          </cell>
          <cell r="X3144">
            <v>4095.72</v>
          </cell>
          <cell r="Y3144">
            <v>585.1</v>
          </cell>
          <cell r="AE3144">
            <v>0</v>
          </cell>
          <cell r="AF3144">
            <v>1869.34</v>
          </cell>
          <cell r="AL3144">
            <v>4.24</v>
          </cell>
          <cell r="AO3144">
            <v>32.229999999999997</v>
          </cell>
          <cell r="AQ3144">
            <v>0.13</v>
          </cell>
          <cell r="AT3144">
            <v>70</v>
          </cell>
          <cell r="AU3144">
            <v>10</v>
          </cell>
          <cell r="AV3144">
            <v>1</v>
          </cell>
          <cell r="AW3144">
            <v>1</v>
          </cell>
          <cell r="BA3144">
            <v>1</v>
          </cell>
          <cell r="BC3144">
            <v>1</v>
          </cell>
          <cell r="BZ3144">
            <v>70</v>
          </cell>
          <cell r="CA3144">
            <v>10</v>
          </cell>
          <cell r="CS3144">
            <v>0</v>
          </cell>
          <cell r="DD3144" t="str">
            <v>)*1*58</v>
          </cell>
          <cell r="DG3144" t="str">
            <v>)*1*58</v>
          </cell>
          <cell r="DI3144" t="str">
            <v>)*1*58</v>
          </cell>
        </row>
        <row r="3145">
          <cell r="F3145" t="str">
            <v>21.1-25-13</v>
          </cell>
          <cell r="G3145" t="str">
            <v>Вода</v>
          </cell>
          <cell r="H3145" t="str">
            <v>м3</v>
          </cell>
          <cell r="I3145">
            <v>-18.154</v>
          </cell>
          <cell r="O3145">
            <v>-770.46</v>
          </cell>
          <cell r="X3145">
            <v>0</v>
          </cell>
          <cell r="Y3145">
            <v>0</v>
          </cell>
          <cell r="AE3145">
            <v>0</v>
          </cell>
          <cell r="AF3145">
            <v>0</v>
          </cell>
          <cell r="AK3145">
            <v>42.44</v>
          </cell>
          <cell r="AV3145">
            <v>1</v>
          </cell>
          <cell r="AW3145">
            <v>1</v>
          </cell>
          <cell r="BC3145">
            <v>1</v>
          </cell>
          <cell r="BZ3145">
            <v>70</v>
          </cell>
          <cell r="CA3145">
            <v>10</v>
          </cell>
          <cell r="CS3145">
            <v>0</v>
          </cell>
        </row>
        <row r="3147">
          <cell r="G3147" t="str">
            <v>Содержание покрытий террасной доской ( S= 313 м2; 195 м2-террасная доска Восход верх, 118 м2-гастроцентр верх)</v>
          </cell>
        </row>
        <row r="3177">
          <cell r="G3177" t="str">
            <v>Содержание покрытия брусом( лавочка ресторана " Восход "-14,87 м2, лавочка кафе "Гастрономический центр-99,9 м2).</v>
          </cell>
        </row>
        <row r="3181">
          <cell r="F3181" t="str">
            <v>5.3-1101-10-1/1</v>
          </cell>
          <cell r="G3181" t="str">
            <v>Протирка садовых диванов и скамеек</v>
          </cell>
          <cell r="H3181" t="str">
            <v>100 м2</v>
          </cell>
          <cell r="I3181">
            <v>1.1476999999999999</v>
          </cell>
          <cell r="P3181">
            <v>410.56</v>
          </cell>
          <cell r="S3181">
            <v>197192.26</v>
          </cell>
          <cell r="U3181">
            <v>795.35609999999997</v>
          </cell>
          <cell r="X3181">
            <v>138034.57999999999</v>
          </cell>
          <cell r="Y3181">
            <v>19719.23</v>
          </cell>
          <cell r="AE3181">
            <v>0</v>
          </cell>
          <cell r="AF3181">
            <v>171815.16</v>
          </cell>
          <cell r="AL3181">
            <v>2.71</v>
          </cell>
          <cell r="AO3181">
            <v>1301.6300000000001</v>
          </cell>
          <cell r="AQ3181">
            <v>5.25</v>
          </cell>
          <cell r="AT3181">
            <v>70</v>
          </cell>
          <cell r="AU3181">
            <v>10</v>
          </cell>
          <cell r="AV3181">
            <v>1</v>
          </cell>
          <cell r="AW3181">
            <v>1</v>
          </cell>
          <cell r="BA3181">
            <v>1</v>
          </cell>
          <cell r="BC3181">
            <v>1</v>
          </cell>
          <cell r="BZ3181">
            <v>70</v>
          </cell>
          <cell r="CA3181">
            <v>10</v>
          </cell>
          <cell r="CS3181">
            <v>0</v>
          </cell>
          <cell r="DD3181" t="str">
            <v>)*1*132</v>
          </cell>
          <cell r="DG3181" t="str">
            <v>)*1*132</v>
          </cell>
          <cell r="DI3181" t="str">
            <v>)*1*132</v>
          </cell>
        </row>
        <row r="3182">
          <cell r="F3182" t="str">
            <v>21.1-25-13</v>
          </cell>
          <cell r="G3182" t="str">
            <v>Вода</v>
          </cell>
          <cell r="H3182" t="str">
            <v>м3</v>
          </cell>
          <cell r="I3182">
            <v>-1.514964</v>
          </cell>
          <cell r="O3182">
            <v>-64.3</v>
          </cell>
          <cell r="X3182">
            <v>0</v>
          </cell>
          <cell r="Y3182">
            <v>0</v>
          </cell>
          <cell r="AE3182">
            <v>0</v>
          </cell>
          <cell r="AF3182">
            <v>0</v>
          </cell>
          <cell r="AK3182">
            <v>42.44</v>
          </cell>
          <cell r="AV3182">
            <v>1</v>
          </cell>
          <cell r="AW3182">
            <v>1</v>
          </cell>
          <cell r="BC3182">
            <v>1</v>
          </cell>
          <cell r="BZ3182">
            <v>70</v>
          </cell>
          <cell r="CA3182">
            <v>10</v>
          </cell>
          <cell r="CS3182">
            <v>0</v>
          </cell>
        </row>
        <row r="3183">
          <cell r="F3183" t="str">
            <v>5.3-1101-9-1/1</v>
          </cell>
          <cell r="G3183" t="str">
            <v>Мытье садовых диванов и скамеек</v>
          </cell>
          <cell r="H3183" t="str">
            <v>100 м2</v>
          </cell>
          <cell r="I3183">
            <v>1.1476999999999999</v>
          </cell>
          <cell r="P3183">
            <v>74.650000000000006</v>
          </cell>
          <cell r="S3183">
            <v>19668.09</v>
          </cell>
          <cell r="U3183">
            <v>79.329024000000004</v>
          </cell>
          <cell r="X3183">
            <v>13767.66</v>
          </cell>
          <cell r="Y3183">
            <v>1966.81</v>
          </cell>
          <cell r="AE3183">
            <v>0</v>
          </cell>
          <cell r="AF3183">
            <v>17136.96</v>
          </cell>
          <cell r="AL3183">
            <v>5.42</v>
          </cell>
          <cell r="AO3183">
            <v>1428.08</v>
          </cell>
          <cell r="AQ3183">
            <v>5.76</v>
          </cell>
          <cell r="AT3183">
            <v>70</v>
          </cell>
          <cell r="AU3183">
            <v>10</v>
          </cell>
          <cell r="AV3183">
            <v>1</v>
          </cell>
          <cell r="AW3183">
            <v>1</v>
          </cell>
          <cell r="BA3183">
            <v>1</v>
          </cell>
          <cell r="BC3183">
            <v>1</v>
          </cell>
          <cell r="BZ3183">
            <v>70</v>
          </cell>
          <cell r="CA3183">
            <v>10</v>
          </cell>
          <cell r="CS3183">
            <v>0</v>
          </cell>
          <cell r="DD3183" t="str">
            <v>)*1*12</v>
          </cell>
          <cell r="DG3183" t="str">
            <v>)*1*12</v>
          </cell>
          <cell r="DI3183" t="str">
            <v>)*1*12</v>
          </cell>
        </row>
        <row r="3184">
          <cell r="F3184" t="str">
            <v>21.1-25-13</v>
          </cell>
          <cell r="G3184" t="str">
            <v>Вода</v>
          </cell>
          <cell r="H3184" t="str">
            <v>м3</v>
          </cell>
          <cell r="I3184">
            <v>-0.27544800000000003</v>
          </cell>
          <cell r="O3184">
            <v>-11.69</v>
          </cell>
          <cell r="X3184">
            <v>0</v>
          </cell>
          <cell r="Y3184">
            <v>0</v>
          </cell>
          <cell r="AE3184">
            <v>0</v>
          </cell>
          <cell r="AF3184">
            <v>0</v>
          </cell>
          <cell r="AK3184">
            <v>42.44</v>
          </cell>
          <cell r="AV3184">
            <v>1</v>
          </cell>
          <cell r="AW3184">
            <v>1</v>
          </cell>
          <cell r="BC3184">
            <v>1</v>
          </cell>
          <cell r="BZ3184">
            <v>70</v>
          </cell>
          <cell r="CA3184">
            <v>10</v>
          </cell>
          <cell r="CS3184">
            <v>0</v>
          </cell>
        </row>
        <row r="3186">
          <cell r="G3186" t="str">
            <v>Содержание покрытия брусом( лавочка ресторана " Восход "-14,87 м2, лавочка кафе "Гастрономический центр-99,9 м2).</v>
          </cell>
        </row>
        <row r="3216">
          <cell r="G3216" t="str">
            <v>Уход за детскими площадками( S=274,5 м2)</v>
          </cell>
        </row>
        <row r="3220">
          <cell r="F3220" t="str">
            <v>5.3-1101-19-1/1</v>
          </cell>
          <cell r="G3220" t="str">
            <v>Уборка полиуретанового покрытия игровых площадок, спортивных дорожек и площадок вручную</v>
          </cell>
          <cell r="H3220" t="str">
            <v>100 м2</v>
          </cell>
          <cell r="I3220">
            <v>2.7450000000000001</v>
          </cell>
          <cell r="P3220">
            <v>4697.79</v>
          </cell>
          <cell r="S3220">
            <v>89563.97</v>
          </cell>
          <cell r="U3220">
            <v>502.55460000000005</v>
          </cell>
          <cell r="X3220">
            <v>62694.78</v>
          </cell>
          <cell r="Y3220">
            <v>8956.4</v>
          </cell>
          <cell r="AE3220">
            <v>0</v>
          </cell>
          <cell r="AF3220">
            <v>32628.04</v>
          </cell>
          <cell r="AL3220">
            <v>2.15</v>
          </cell>
          <cell r="AO3220">
            <v>40.99</v>
          </cell>
          <cell r="AQ3220">
            <v>0.23</v>
          </cell>
          <cell r="AT3220">
            <v>70</v>
          </cell>
          <cell r="AU3220">
            <v>10</v>
          </cell>
          <cell r="AV3220">
            <v>1</v>
          </cell>
          <cell r="AW3220">
            <v>1</v>
          </cell>
          <cell r="BA3220">
            <v>1</v>
          </cell>
          <cell r="BC3220">
            <v>1</v>
          </cell>
          <cell r="BZ3220">
            <v>70</v>
          </cell>
          <cell r="CA3220">
            <v>10</v>
          </cell>
          <cell r="CS3220">
            <v>0</v>
          </cell>
          <cell r="DD3220" t="str">
            <v>)*2*398</v>
          </cell>
          <cell r="DG3220" t="str">
            <v>)*2*398</v>
          </cell>
          <cell r="DI3220" t="str">
            <v>)*2*398</v>
          </cell>
        </row>
        <row r="3221">
          <cell r="F3221" t="str">
            <v>5.3-1101-14-1/1</v>
          </cell>
          <cell r="G3221" t="str">
            <v>Полив дорожек из шланга вручную( полив площадки)</v>
          </cell>
          <cell r="H3221" t="str">
            <v>100 м2</v>
          </cell>
          <cell r="I3221">
            <v>2.7450000000000001</v>
          </cell>
          <cell r="P3221">
            <v>675.05</v>
          </cell>
          <cell r="S3221">
            <v>5131.34</v>
          </cell>
          <cell r="U3221">
            <v>20.697300000000002</v>
          </cell>
          <cell r="X3221">
            <v>3591.94</v>
          </cell>
          <cell r="Y3221">
            <v>513.13</v>
          </cell>
          <cell r="AE3221">
            <v>0</v>
          </cell>
          <cell r="AF3221">
            <v>1869.34</v>
          </cell>
          <cell r="AL3221">
            <v>4.24</v>
          </cell>
          <cell r="AO3221">
            <v>32.229999999999997</v>
          </cell>
          <cell r="AQ3221">
            <v>0.13</v>
          </cell>
          <cell r="AT3221">
            <v>70</v>
          </cell>
          <cell r="AU3221">
            <v>10</v>
          </cell>
          <cell r="AV3221">
            <v>1</v>
          </cell>
          <cell r="AW3221">
            <v>1</v>
          </cell>
          <cell r="BA3221">
            <v>1</v>
          </cell>
          <cell r="BC3221">
            <v>1</v>
          </cell>
          <cell r="BZ3221">
            <v>70</v>
          </cell>
          <cell r="CA3221">
            <v>10</v>
          </cell>
          <cell r="CS3221">
            <v>0</v>
          </cell>
          <cell r="DD3221" t="str">
            <v>)*1*58</v>
          </cell>
          <cell r="DG3221" t="str">
            <v>)*1*58</v>
          </cell>
          <cell r="DI3221" t="str">
            <v>)*1*58</v>
          </cell>
        </row>
        <row r="3222">
          <cell r="F3222" t="str">
            <v>21.1-25-13</v>
          </cell>
          <cell r="G3222" t="str">
            <v>Вода</v>
          </cell>
          <cell r="H3222" t="str">
            <v>м3</v>
          </cell>
          <cell r="I3222">
            <v>-15.920999999999999</v>
          </cell>
          <cell r="O3222">
            <v>-675.69</v>
          </cell>
          <cell r="X3222">
            <v>0</v>
          </cell>
          <cell r="Y3222">
            <v>0</v>
          </cell>
          <cell r="AE3222">
            <v>0</v>
          </cell>
          <cell r="AF3222">
            <v>0</v>
          </cell>
          <cell r="AK3222">
            <v>42.44</v>
          </cell>
          <cell r="AV3222">
            <v>1</v>
          </cell>
          <cell r="AW3222">
            <v>1</v>
          </cell>
          <cell r="BC3222">
            <v>1</v>
          </cell>
          <cell r="BZ3222">
            <v>70</v>
          </cell>
          <cell r="CA3222">
            <v>10</v>
          </cell>
          <cell r="CS3222">
            <v>0</v>
          </cell>
        </row>
        <row r="3224">
          <cell r="G3224" t="str">
            <v>Уход за детскими площадками( S=274,5 м2)</v>
          </cell>
        </row>
        <row r="3254">
          <cell r="G3254" t="str">
            <v>Игровые элементы "Детской площадки "( 6 шт.)</v>
          </cell>
        </row>
        <row r="3258">
          <cell r="F3258" t="str">
            <v>калькуляция</v>
          </cell>
          <cell r="G3258" t="str">
            <v>Протирка.. Игровой элемент "Паутина" -  канатная конструкция, выполненная из хлопкового каната и столбцов из древесины</v>
          </cell>
          <cell r="H3258" t="str">
            <v>шт.</v>
          </cell>
          <cell r="I3258">
            <v>1</v>
          </cell>
          <cell r="S3258">
            <v>2150.64</v>
          </cell>
          <cell r="X3258">
            <v>0</v>
          </cell>
          <cell r="Y3258">
            <v>0</v>
          </cell>
          <cell r="AE3258">
            <v>0</v>
          </cell>
          <cell r="AF3258">
            <v>2150.64</v>
          </cell>
          <cell r="AO3258">
            <v>37.08</v>
          </cell>
          <cell r="AV3258">
            <v>1</v>
          </cell>
          <cell r="BA3258">
            <v>1</v>
          </cell>
          <cell r="BZ3258">
            <v>0</v>
          </cell>
          <cell r="CA3258">
            <v>0</v>
          </cell>
          <cell r="CS3258">
            <v>0</v>
          </cell>
          <cell r="DG3258" t="str">
            <v>)*1*58</v>
          </cell>
        </row>
        <row r="3259">
          <cell r="F3259" t="str">
            <v>цена поставщика</v>
          </cell>
          <cell r="G3259" t="str">
            <v>Очищающее средство для деревянных полов Wood Clean Pramol</v>
          </cell>
          <cell r="H3259" t="str">
            <v>л</v>
          </cell>
          <cell r="I3259">
            <v>1.7399999999999999E-2</v>
          </cell>
          <cell r="O3259">
            <v>7.54</v>
          </cell>
          <cell r="X3259">
            <v>0</v>
          </cell>
          <cell r="Y3259">
            <v>0</v>
          </cell>
          <cell r="AE3259">
            <v>0</v>
          </cell>
          <cell r="AF3259">
            <v>0</v>
          </cell>
          <cell r="AK3259">
            <v>433.33</v>
          </cell>
          <cell r="AV3259">
            <v>1</v>
          </cell>
          <cell r="AW3259">
            <v>1</v>
          </cell>
          <cell r="BC3259">
            <v>1</v>
          </cell>
          <cell r="BZ3259">
            <v>0</v>
          </cell>
          <cell r="CA3259">
            <v>0</v>
          </cell>
          <cell r="CS3259">
            <v>0</v>
          </cell>
        </row>
        <row r="3260">
          <cell r="F3260" t="str">
            <v>калькуляция</v>
          </cell>
          <cell r="G3260" t="str">
            <v>Протирка. Игровой элемент "Зигзаг" – канатная конструкция, выполненная из хлопкового каната и столбцов из древесины</v>
          </cell>
          <cell r="H3260" t="str">
            <v>шт.</v>
          </cell>
          <cell r="I3260">
            <v>1</v>
          </cell>
          <cell r="S3260">
            <v>2150.64</v>
          </cell>
          <cell r="X3260">
            <v>0</v>
          </cell>
          <cell r="Y3260">
            <v>0</v>
          </cell>
          <cell r="AE3260">
            <v>0</v>
          </cell>
          <cell r="AF3260">
            <v>2150.64</v>
          </cell>
          <cell r="AO3260">
            <v>37.08</v>
          </cell>
          <cell r="AV3260">
            <v>1</v>
          </cell>
          <cell r="BA3260">
            <v>1</v>
          </cell>
          <cell r="BZ3260">
            <v>0</v>
          </cell>
          <cell r="CA3260">
            <v>0</v>
          </cell>
          <cell r="CS3260">
            <v>0</v>
          </cell>
          <cell r="DG3260" t="str">
            <v>)*1*58</v>
          </cell>
        </row>
        <row r="3261">
          <cell r="F3261" t="str">
            <v>цена поставщика</v>
          </cell>
          <cell r="G3261" t="str">
            <v>Очищающее средство для деревянных полов Wood Clean Pramol</v>
          </cell>
          <cell r="H3261" t="str">
            <v>л</v>
          </cell>
          <cell r="I3261">
            <v>1.7399999999999999E-2</v>
          </cell>
          <cell r="O3261">
            <v>7.54</v>
          </cell>
          <cell r="X3261">
            <v>0</v>
          </cell>
          <cell r="Y3261">
            <v>0</v>
          </cell>
          <cell r="AE3261">
            <v>0</v>
          </cell>
          <cell r="AF3261">
            <v>0</v>
          </cell>
          <cell r="AK3261">
            <v>433.33</v>
          </cell>
          <cell r="AV3261">
            <v>1</v>
          </cell>
          <cell r="AW3261">
            <v>1</v>
          </cell>
          <cell r="BC3261">
            <v>1</v>
          </cell>
          <cell r="BZ3261">
            <v>0</v>
          </cell>
          <cell r="CA3261">
            <v>0</v>
          </cell>
          <cell r="CS3261">
            <v>0</v>
          </cell>
        </row>
        <row r="3262">
          <cell r="F3262" t="str">
            <v>калькуляция</v>
          </cell>
          <cell r="G3262" t="str">
            <v>Протирка. Игровой элемент "Ходули-лабиринт" -  канатная конструкция, выполненная из хлопкового каната и столбцов из древесины.</v>
          </cell>
          <cell r="H3262" t="str">
            <v>шт.</v>
          </cell>
          <cell r="I3262">
            <v>1</v>
          </cell>
          <cell r="S3262">
            <v>2150.64</v>
          </cell>
          <cell r="X3262">
            <v>0</v>
          </cell>
          <cell r="Y3262">
            <v>0</v>
          </cell>
          <cell r="AE3262">
            <v>0</v>
          </cell>
          <cell r="AF3262">
            <v>2150.64</v>
          </cell>
          <cell r="AO3262">
            <v>37.08</v>
          </cell>
          <cell r="AV3262">
            <v>1</v>
          </cell>
          <cell r="BA3262">
            <v>1</v>
          </cell>
          <cell r="BZ3262">
            <v>0</v>
          </cell>
          <cell r="CA3262">
            <v>0</v>
          </cell>
          <cell r="CS3262">
            <v>0</v>
          </cell>
          <cell r="DG3262" t="str">
            <v>)*1*58</v>
          </cell>
        </row>
        <row r="3263">
          <cell r="F3263" t="str">
            <v>цена поставщика</v>
          </cell>
          <cell r="G3263" t="str">
            <v>Очищающее средство для деревянных полов Wood Clean Pramol</v>
          </cell>
          <cell r="H3263" t="str">
            <v>л</v>
          </cell>
          <cell r="I3263">
            <v>1.7399999999999999E-2</v>
          </cell>
          <cell r="O3263">
            <v>7.54</v>
          </cell>
          <cell r="X3263">
            <v>0</v>
          </cell>
          <cell r="Y3263">
            <v>0</v>
          </cell>
          <cell r="AE3263">
            <v>0</v>
          </cell>
          <cell r="AF3263">
            <v>0</v>
          </cell>
          <cell r="AK3263">
            <v>433.33</v>
          </cell>
          <cell r="AV3263">
            <v>1</v>
          </cell>
          <cell r="AW3263">
            <v>1</v>
          </cell>
          <cell r="BC3263">
            <v>1</v>
          </cell>
          <cell r="BZ3263">
            <v>0</v>
          </cell>
          <cell r="CA3263">
            <v>0</v>
          </cell>
          <cell r="CS3263">
            <v>0</v>
          </cell>
        </row>
        <row r="3264">
          <cell r="F3264" t="str">
            <v>калькуляция</v>
          </cell>
          <cell r="G3264" t="str">
            <v>Протирка. Игровой элемент "Балансир" - основание выполнено из металлических пружин, сверху укреплён круг из древесины.</v>
          </cell>
          <cell r="H3264" t="str">
            <v>шт.</v>
          </cell>
          <cell r="I3264">
            <v>1</v>
          </cell>
          <cell r="S3264">
            <v>2150.64</v>
          </cell>
          <cell r="X3264">
            <v>0</v>
          </cell>
          <cell r="Y3264">
            <v>0</v>
          </cell>
          <cell r="AE3264">
            <v>0</v>
          </cell>
          <cell r="AF3264">
            <v>2150.64</v>
          </cell>
          <cell r="AO3264">
            <v>37.08</v>
          </cell>
          <cell r="AV3264">
            <v>1</v>
          </cell>
          <cell r="BA3264">
            <v>1</v>
          </cell>
          <cell r="BZ3264">
            <v>0</v>
          </cell>
          <cell r="CA3264">
            <v>0</v>
          </cell>
          <cell r="CS3264">
            <v>0</v>
          </cell>
          <cell r="DG3264" t="str">
            <v>)*1*58</v>
          </cell>
        </row>
        <row r="3265">
          <cell r="F3265" t="str">
            <v>цена поставщика</v>
          </cell>
          <cell r="G3265" t="str">
            <v>Очищающее средство для деревянных полов Wood Clean Pramol</v>
          </cell>
          <cell r="H3265" t="str">
            <v>л</v>
          </cell>
          <cell r="I3265">
            <v>1.7399999999999999E-2</v>
          </cell>
          <cell r="O3265">
            <v>7.54</v>
          </cell>
          <cell r="X3265">
            <v>0</v>
          </cell>
          <cell r="Y3265">
            <v>0</v>
          </cell>
          <cell r="AE3265">
            <v>0</v>
          </cell>
          <cell r="AF3265">
            <v>0</v>
          </cell>
          <cell r="AK3265">
            <v>433.33</v>
          </cell>
          <cell r="AV3265">
            <v>1</v>
          </cell>
          <cell r="AW3265">
            <v>1</v>
          </cell>
          <cell r="BC3265">
            <v>1</v>
          </cell>
          <cell r="BZ3265">
            <v>0</v>
          </cell>
          <cell r="CA3265">
            <v>0</v>
          </cell>
          <cell r="CS3265">
            <v>0</v>
          </cell>
        </row>
        <row r="3266">
          <cell r="F3266" t="str">
            <v>калькуляция</v>
          </cell>
          <cell r="G3266" t="str">
            <v>Протирка. Игровой элемент " Качели-гамак" - канатная конструкция, выполненная из хлопкового каната и столбцов из древесины</v>
          </cell>
          <cell r="H3266" t="str">
            <v>шт.</v>
          </cell>
          <cell r="I3266">
            <v>1</v>
          </cell>
          <cell r="S3266">
            <v>2150.64</v>
          </cell>
          <cell r="X3266">
            <v>0</v>
          </cell>
          <cell r="Y3266">
            <v>0</v>
          </cell>
          <cell r="AE3266">
            <v>0</v>
          </cell>
          <cell r="AF3266">
            <v>2150.64</v>
          </cell>
          <cell r="AO3266">
            <v>37.08</v>
          </cell>
          <cell r="AV3266">
            <v>1</v>
          </cell>
          <cell r="BA3266">
            <v>1</v>
          </cell>
          <cell r="BZ3266">
            <v>0</v>
          </cell>
          <cell r="CA3266">
            <v>0</v>
          </cell>
          <cell r="CS3266">
            <v>0</v>
          </cell>
          <cell r="DG3266" t="str">
            <v>)*1*58</v>
          </cell>
        </row>
        <row r="3267">
          <cell r="F3267" t="str">
            <v>цена поставщика</v>
          </cell>
          <cell r="G3267" t="str">
            <v>Очищающее средство для деревянных полов Wood Clean Pramol</v>
          </cell>
          <cell r="H3267" t="str">
            <v>л</v>
          </cell>
          <cell r="I3267">
            <v>1.7399999999999999E-2</v>
          </cell>
          <cell r="O3267">
            <v>7.54</v>
          </cell>
          <cell r="X3267">
            <v>0</v>
          </cell>
          <cell r="Y3267">
            <v>0</v>
          </cell>
          <cell r="AE3267">
            <v>0</v>
          </cell>
          <cell r="AF3267">
            <v>0</v>
          </cell>
          <cell r="AK3267">
            <v>433.33</v>
          </cell>
          <cell r="AV3267">
            <v>1</v>
          </cell>
          <cell r="AW3267">
            <v>1</v>
          </cell>
          <cell r="BC3267">
            <v>1</v>
          </cell>
          <cell r="BZ3267">
            <v>0</v>
          </cell>
          <cell r="CA3267">
            <v>0</v>
          </cell>
          <cell r="CS3267">
            <v>0</v>
          </cell>
        </row>
        <row r="3268">
          <cell r="F3268" t="str">
            <v>калькуляция</v>
          </cell>
          <cell r="G3268" t="str">
            <v>Протирка. Игровой элемент «Столбы» - конструкция из древесины</v>
          </cell>
          <cell r="H3268" t="str">
            <v>шт.</v>
          </cell>
          <cell r="I3268">
            <v>1</v>
          </cell>
          <cell r="S3268">
            <v>2150.64</v>
          </cell>
          <cell r="X3268">
            <v>0</v>
          </cell>
          <cell r="Y3268">
            <v>0</v>
          </cell>
          <cell r="AE3268">
            <v>0</v>
          </cell>
          <cell r="AF3268">
            <v>2150.64</v>
          </cell>
          <cell r="AO3268">
            <v>37.08</v>
          </cell>
          <cell r="AV3268">
            <v>1</v>
          </cell>
          <cell r="BA3268">
            <v>1</v>
          </cell>
          <cell r="BZ3268">
            <v>0</v>
          </cell>
          <cell r="CA3268">
            <v>0</v>
          </cell>
          <cell r="CS3268">
            <v>0</v>
          </cell>
          <cell r="DG3268" t="str">
            <v>)*1*58</v>
          </cell>
        </row>
        <row r="3269">
          <cell r="F3269" t="str">
            <v>цена поставщика</v>
          </cell>
          <cell r="G3269" t="str">
            <v>Очищающее средство для деревянных полов Wood Clean Pramol</v>
          </cell>
          <cell r="H3269" t="str">
            <v>л</v>
          </cell>
          <cell r="I3269">
            <v>1.7399999999999999E-2</v>
          </cell>
          <cell r="O3269">
            <v>7.54</v>
          </cell>
          <cell r="X3269">
            <v>0</v>
          </cell>
          <cell r="Y3269">
            <v>0</v>
          </cell>
          <cell r="AE3269">
            <v>0</v>
          </cell>
          <cell r="AF3269">
            <v>0</v>
          </cell>
          <cell r="AK3269">
            <v>433.33</v>
          </cell>
          <cell r="AV3269">
            <v>1</v>
          </cell>
          <cell r="AW3269">
            <v>1</v>
          </cell>
          <cell r="BC3269">
            <v>1</v>
          </cell>
          <cell r="BZ3269">
            <v>0</v>
          </cell>
          <cell r="CA3269">
            <v>0</v>
          </cell>
          <cell r="CS3269">
            <v>0</v>
          </cell>
        </row>
        <row r="3271">
          <cell r="G3271" t="str">
            <v>Игровые элементы "Детской площадки "( 6 шт.)</v>
          </cell>
        </row>
        <row r="3301">
          <cell r="G3301" t="str">
            <v>Уход за садово-парковыми скамьями (S=1473,38 м2 )</v>
          </cell>
        </row>
        <row r="3305">
          <cell r="F3305" t="str">
            <v>5.3-1101-10-1/1</v>
          </cell>
          <cell r="G3305" t="str">
            <v>Протирка садовых диванов и скамеек ( 575,56м2)</v>
          </cell>
          <cell r="H3305" t="str">
            <v>100 м2</v>
          </cell>
          <cell r="I3305">
            <v>14.7338</v>
          </cell>
          <cell r="P3305">
            <v>5270.57</v>
          </cell>
          <cell r="S3305">
            <v>2531490.2000000002</v>
          </cell>
          <cell r="U3305">
            <v>10210.5234</v>
          </cell>
          <cell r="X3305">
            <v>1772043.14</v>
          </cell>
          <cell r="Y3305">
            <v>253149.02</v>
          </cell>
          <cell r="AE3305">
            <v>0</v>
          </cell>
          <cell r="AF3305">
            <v>171815.16</v>
          </cell>
          <cell r="AL3305">
            <v>2.71</v>
          </cell>
          <cell r="AO3305">
            <v>1301.6300000000001</v>
          </cell>
          <cell r="AQ3305">
            <v>5.25</v>
          </cell>
          <cell r="AT3305">
            <v>70</v>
          </cell>
          <cell r="AU3305">
            <v>10</v>
          </cell>
          <cell r="AV3305">
            <v>1</v>
          </cell>
          <cell r="AW3305">
            <v>1</v>
          </cell>
          <cell r="BA3305">
            <v>1</v>
          </cell>
          <cell r="BC3305">
            <v>1</v>
          </cell>
          <cell r="BZ3305">
            <v>70</v>
          </cell>
          <cell r="CA3305">
            <v>10</v>
          </cell>
          <cell r="CS3305">
            <v>0</v>
          </cell>
          <cell r="DD3305" t="str">
            <v>)*1*132</v>
          </cell>
          <cell r="DG3305" t="str">
            <v>)*1*132</v>
          </cell>
          <cell r="DI3305" t="str">
            <v>)*1*132</v>
          </cell>
        </row>
        <row r="3306">
          <cell r="F3306" t="str">
            <v>21.1-25-13</v>
          </cell>
          <cell r="G3306" t="str">
            <v>Вода</v>
          </cell>
          <cell r="H3306" t="str">
            <v>м3</v>
          </cell>
          <cell r="I3306">
            <v>-19.448616000000001</v>
          </cell>
          <cell r="O3306">
            <v>-825.4</v>
          </cell>
          <cell r="X3306">
            <v>0</v>
          </cell>
          <cell r="Y3306">
            <v>0</v>
          </cell>
          <cell r="AE3306">
            <v>0</v>
          </cell>
          <cell r="AF3306">
            <v>0</v>
          </cell>
          <cell r="AK3306">
            <v>42.44</v>
          </cell>
          <cell r="AV3306">
            <v>1</v>
          </cell>
          <cell r="AW3306">
            <v>1</v>
          </cell>
          <cell r="BC3306">
            <v>1</v>
          </cell>
          <cell r="BZ3306">
            <v>70</v>
          </cell>
          <cell r="CA3306">
            <v>10</v>
          </cell>
          <cell r="CS3306">
            <v>0</v>
          </cell>
        </row>
        <row r="3307">
          <cell r="F3307" t="str">
            <v>5.3-1101-9-1/1</v>
          </cell>
          <cell r="G3307" t="str">
            <v>Мытье садовых диванов и скамеек</v>
          </cell>
          <cell r="H3307" t="str">
            <v>100 м2</v>
          </cell>
          <cell r="I3307">
            <v>14.7338</v>
          </cell>
          <cell r="P3307">
            <v>958.29</v>
          </cell>
          <cell r="S3307">
            <v>252492.54</v>
          </cell>
          <cell r="U3307">
            <v>1018.4002560000001</v>
          </cell>
          <cell r="X3307">
            <v>176744.78</v>
          </cell>
          <cell r="Y3307">
            <v>25249.25</v>
          </cell>
          <cell r="AE3307">
            <v>0</v>
          </cell>
          <cell r="AF3307">
            <v>17136.96</v>
          </cell>
          <cell r="AL3307">
            <v>5.42</v>
          </cell>
          <cell r="AO3307">
            <v>1428.08</v>
          </cell>
          <cell r="AQ3307">
            <v>5.76</v>
          </cell>
          <cell r="AT3307">
            <v>70</v>
          </cell>
          <cell r="AU3307">
            <v>10</v>
          </cell>
          <cell r="AV3307">
            <v>1</v>
          </cell>
          <cell r="AW3307">
            <v>1</v>
          </cell>
          <cell r="BA3307">
            <v>1</v>
          </cell>
          <cell r="BC3307">
            <v>1</v>
          </cell>
          <cell r="BZ3307">
            <v>70</v>
          </cell>
          <cell r="CA3307">
            <v>10</v>
          </cell>
          <cell r="CS3307">
            <v>0</v>
          </cell>
          <cell r="DD3307" t="str">
            <v>)*1*12</v>
          </cell>
          <cell r="DG3307" t="str">
            <v>)*1*12</v>
          </cell>
          <cell r="DI3307" t="str">
            <v>)*1*12</v>
          </cell>
        </row>
        <row r="3308">
          <cell r="F3308" t="str">
            <v>21.1-25-13</v>
          </cell>
          <cell r="G3308" t="str">
            <v>Вода</v>
          </cell>
          <cell r="H3308" t="str">
            <v>м3</v>
          </cell>
          <cell r="I3308">
            <v>-3.5361120000000001</v>
          </cell>
          <cell r="O3308">
            <v>-150.07</v>
          </cell>
          <cell r="X3308">
            <v>0</v>
          </cell>
          <cell r="Y3308">
            <v>0</v>
          </cell>
          <cell r="AE3308">
            <v>0</v>
          </cell>
          <cell r="AF3308">
            <v>0</v>
          </cell>
          <cell r="AK3308">
            <v>42.44</v>
          </cell>
          <cell r="AV3308">
            <v>1</v>
          </cell>
          <cell r="AW3308">
            <v>1</v>
          </cell>
          <cell r="BC3308">
            <v>1</v>
          </cell>
          <cell r="BZ3308">
            <v>70</v>
          </cell>
          <cell r="CA3308">
            <v>10</v>
          </cell>
          <cell r="CS3308">
            <v>0</v>
          </cell>
        </row>
        <row r="3310">
          <cell r="G3310" t="str">
            <v>Уход за садово-парковыми скамьями (S=1473,38 м2 )</v>
          </cell>
        </row>
        <row r="3340">
          <cell r="G3340" t="str">
            <v>Содержание деревянного моста( S=276 м2)</v>
          </cell>
        </row>
        <row r="3344">
          <cell r="F3344" t="str">
            <v>5.3-1101-13-1/1</v>
          </cell>
          <cell r="G3344" t="str">
            <v>Подметание вручную дорожек и площадок с твердым покрытием( 276 м2)</v>
          </cell>
          <cell r="H3344" t="str">
            <v>100 м2</v>
          </cell>
          <cell r="I3344">
            <v>2.76</v>
          </cell>
          <cell r="S3344">
            <v>76256.479999999996</v>
          </cell>
          <cell r="U3344">
            <v>307.57440000000003</v>
          </cell>
          <cell r="X3344">
            <v>53379.54</v>
          </cell>
          <cell r="Y3344">
            <v>7625.65</v>
          </cell>
          <cell r="AE3344">
            <v>0</v>
          </cell>
          <cell r="AF3344">
            <v>27629.16</v>
          </cell>
          <cell r="AO3344">
            <v>34.71</v>
          </cell>
          <cell r="AQ3344">
            <v>0.14000000000000001</v>
          </cell>
          <cell r="AT3344">
            <v>70</v>
          </cell>
          <cell r="AU3344">
            <v>10</v>
          </cell>
          <cell r="AV3344">
            <v>1</v>
          </cell>
          <cell r="BA3344">
            <v>1</v>
          </cell>
          <cell r="BZ3344">
            <v>70</v>
          </cell>
          <cell r="CA3344">
            <v>10</v>
          </cell>
          <cell r="CS3344">
            <v>0</v>
          </cell>
          <cell r="DG3344" t="str">
            <v>)*2*398</v>
          </cell>
          <cell r="DI3344" t="str">
            <v>)*2*398</v>
          </cell>
        </row>
        <row r="3345">
          <cell r="F3345" t="str">
            <v>5.3-1101-14-1/1</v>
          </cell>
          <cell r="G3345" t="str">
            <v>Полив дорожек из шланга вручную( мытье поверхности)</v>
          </cell>
          <cell r="H3345" t="str">
            <v>100 м2</v>
          </cell>
          <cell r="I3345">
            <v>2.76</v>
          </cell>
          <cell r="P3345">
            <v>678.74</v>
          </cell>
          <cell r="S3345">
            <v>5159.38</v>
          </cell>
          <cell r="U3345">
            <v>20.810399999999998</v>
          </cell>
          <cell r="X3345">
            <v>3611.57</v>
          </cell>
          <cell r="Y3345">
            <v>515.94000000000005</v>
          </cell>
          <cell r="AE3345">
            <v>0</v>
          </cell>
          <cell r="AF3345">
            <v>1869.34</v>
          </cell>
          <cell r="AL3345">
            <v>4.24</v>
          </cell>
          <cell r="AO3345">
            <v>32.229999999999997</v>
          </cell>
          <cell r="AQ3345">
            <v>0.13</v>
          </cell>
          <cell r="AT3345">
            <v>70</v>
          </cell>
          <cell r="AU3345">
            <v>10</v>
          </cell>
          <cell r="AV3345">
            <v>1</v>
          </cell>
          <cell r="AW3345">
            <v>1</v>
          </cell>
          <cell r="BA3345">
            <v>1</v>
          </cell>
          <cell r="BC3345">
            <v>1</v>
          </cell>
          <cell r="BZ3345">
            <v>70</v>
          </cell>
          <cell r="CA3345">
            <v>10</v>
          </cell>
          <cell r="CS3345">
            <v>0</v>
          </cell>
          <cell r="DD3345" t="str">
            <v>)*1*58</v>
          </cell>
          <cell r="DG3345" t="str">
            <v>)*1*58</v>
          </cell>
          <cell r="DI3345" t="str">
            <v>)*1*58</v>
          </cell>
        </row>
        <row r="3346">
          <cell r="F3346" t="str">
            <v>21.1-25-13</v>
          </cell>
          <cell r="G3346" t="str">
            <v>Вода</v>
          </cell>
          <cell r="H3346" t="str">
            <v>м3</v>
          </cell>
          <cell r="I3346">
            <v>-16.007999999999999</v>
          </cell>
          <cell r="O3346">
            <v>-679.38</v>
          </cell>
          <cell r="X3346">
            <v>0</v>
          </cell>
          <cell r="Y3346">
            <v>0</v>
          </cell>
          <cell r="AE3346">
            <v>0</v>
          </cell>
          <cell r="AF3346">
            <v>0</v>
          </cell>
          <cell r="AK3346">
            <v>42.44</v>
          </cell>
          <cell r="AV3346">
            <v>1</v>
          </cell>
          <cell r="AW3346">
            <v>1</v>
          </cell>
          <cell r="BC3346">
            <v>1</v>
          </cell>
          <cell r="BZ3346">
            <v>70</v>
          </cell>
          <cell r="CA3346">
            <v>10</v>
          </cell>
          <cell r="CS3346">
            <v>0</v>
          </cell>
        </row>
        <row r="3348">
          <cell r="G3348" t="str">
            <v>Содержание деревянного моста( S=276 м2)</v>
          </cell>
        </row>
        <row r="3378">
          <cell r="G3378" t="str">
            <v>Уход за урнами (80шт.)</v>
          </cell>
        </row>
        <row r="3382">
          <cell r="F3382" t="str">
            <v>5.3-1101-12-2/1</v>
          </cell>
          <cell r="G3382" t="str">
            <v>Уход за урнами на придомовых и внутрибольничных территориях, очистка урн с металлической емкостью (вкладышем) от мусора</v>
          </cell>
          <cell r="H3382" t="str">
            <v>100 шт.</v>
          </cell>
          <cell r="I3382">
            <v>0.8</v>
          </cell>
          <cell r="P3382">
            <v>205368</v>
          </cell>
          <cell r="S3382">
            <v>1032542.54</v>
          </cell>
          <cell r="U3382">
            <v>4164.6720000000014</v>
          </cell>
          <cell r="X3382">
            <v>722779.78</v>
          </cell>
          <cell r="Y3382">
            <v>103254.25</v>
          </cell>
          <cell r="AE3382">
            <v>0</v>
          </cell>
          <cell r="AF3382">
            <v>1290678.18</v>
          </cell>
          <cell r="AL3382">
            <v>215</v>
          </cell>
          <cell r="AO3382">
            <v>1080.97</v>
          </cell>
          <cell r="AQ3382">
            <v>4.3600000000000003</v>
          </cell>
          <cell r="AT3382">
            <v>70</v>
          </cell>
          <cell r="AU3382">
            <v>10</v>
          </cell>
          <cell r="AV3382">
            <v>1</v>
          </cell>
          <cell r="AW3382">
            <v>1</v>
          </cell>
          <cell r="BA3382">
            <v>1</v>
          </cell>
          <cell r="BC3382">
            <v>1</v>
          </cell>
          <cell r="BZ3382">
            <v>70</v>
          </cell>
          <cell r="CA3382">
            <v>10</v>
          </cell>
          <cell r="CS3382">
            <v>0</v>
          </cell>
          <cell r="DD3382" t="str">
            <v>)*3*398</v>
          </cell>
          <cell r="DG3382" t="str">
            <v>)*3*398</v>
          </cell>
          <cell r="DI3382" t="str">
            <v>)*3*398</v>
          </cell>
        </row>
        <row r="3383">
          <cell r="F3383" t="str">
            <v>21.1-25-636</v>
          </cell>
          <cell r="G3383" t="str">
            <v>Пакеты ПНД для мусора, объем пакета 60 л</v>
          </cell>
          <cell r="H3383" t="str">
            <v>шт.</v>
          </cell>
          <cell r="I3383">
            <v>-95520</v>
          </cell>
          <cell r="O3383">
            <v>-205368</v>
          </cell>
          <cell r="X3383">
            <v>0</v>
          </cell>
          <cell r="Y3383">
            <v>0</v>
          </cell>
          <cell r="AE3383">
            <v>0</v>
          </cell>
          <cell r="AF3383">
            <v>0</v>
          </cell>
          <cell r="AK3383">
            <v>2.15</v>
          </cell>
          <cell r="AV3383">
            <v>1</v>
          </cell>
          <cell r="AW3383">
            <v>1</v>
          </cell>
          <cell r="BC3383">
            <v>1</v>
          </cell>
          <cell r="BZ3383">
            <v>70</v>
          </cell>
          <cell r="CA3383">
            <v>10</v>
          </cell>
          <cell r="CS3383">
            <v>0</v>
          </cell>
        </row>
        <row r="3384">
          <cell r="F3384" t="str">
            <v>цена поставщика</v>
          </cell>
          <cell r="G3384" t="str">
            <v>пакеты ПНД для мусора, объем пакета 240л( длина-1400мм, ширина-900 мм, толщина- 40мкм)</v>
          </cell>
          <cell r="H3384" t="str">
            <v>шт.</v>
          </cell>
          <cell r="I3384">
            <v>95520</v>
          </cell>
          <cell r="O3384">
            <v>1707897.6</v>
          </cell>
          <cell r="X3384">
            <v>0</v>
          </cell>
          <cell r="Y3384">
            <v>0</v>
          </cell>
          <cell r="AE3384">
            <v>0</v>
          </cell>
          <cell r="AF3384">
            <v>0</v>
          </cell>
          <cell r="AK3384">
            <v>17.88</v>
          </cell>
          <cell r="AV3384">
            <v>1</v>
          </cell>
          <cell r="AW3384">
            <v>1</v>
          </cell>
          <cell r="BC3384">
            <v>1</v>
          </cell>
          <cell r="BZ3384">
            <v>70</v>
          </cell>
          <cell r="CA3384">
            <v>10</v>
          </cell>
          <cell r="CS3384">
            <v>0</v>
          </cell>
        </row>
        <row r="3385">
          <cell r="F3385" t="str">
            <v>5.3-1101-12-4/1</v>
          </cell>
          <cell r="G3385" t="str">
            <v>Уход за урнами на придомовых и внутрибольничных территориях, промывка урн весом до 20 кг с металлической емкостью (вкладышем)</v>
          </cell>
          <cell r="H3385" t="str">
            <v>100 шт.</v>
          </cell>
          <cell r="I3385">
            <v>0.8</v>
          </cell>
          <cell r="P3385">
            <v>309714.43</v>
          </cell>
          <cell r="S3385">
            <v>186249.14</v>
          </cell>
          <cell r="U3385">
            <v>751.21600000000012</v>
          </cell>
          <cell r="X3385">
            <v>130374.39999999999</v>
          </cell>
          <cell r="Y3385">
            <v>18624.91</v>
          </cell>
          <cell r="AE3385">
            <v>0</v>
          </cell>
          <cell r="AF3385">
            <v>232811.42</v>
          </cell>
          <cell r="AL3385">
            <v>6674.88</v>
          </cell>
          <cell r="AO3385">
            <v>4013.99</v>
          </cell>
          <cell r="AQ3385">
            <v>16.190000000000001</v>
          </cell>
          <cell r="AT3385">
            <v>70</v>
          </cell>
          <cell r="AU3385">
            <v>10</v>
          </cell>
          <cell r="AV3385">
            <v>1</v>
          </cell>
          <cell r="AW3385">
            <v>1</v>
          </cell>
          <cell r="BA3385">
            <v>1</v>
          </cell>
          <cell r="BC3385">
            <v>1</v>
          </cell>
          <cell r="BZ3385">
            <v>70</v>
          </cell>
          <cell r="CA3385">
            <v>10</v>
          </cell>
          <cell r="CS3385">
            <v>0</v>
          </cell>
          <cell r="DD3385" t="str">
            <v>)*1*58</v>
          </cell>
          <cell r="DG3385" t="str">
            <v>)*1*58</v>
          </cell>
          <cell r="DI3385" t="str">
            <v>)*1*58</v>
          </cell>
        </row>
        <row r="3386">
          <cell r="F3386" t="str">
            <v>21.1-25-636</v>
          </cell>
          <cell r="G3386" t="str">
            <v>Пакеты ПНД для мусора, объем пакета 60 л</v>
          </cell>
          <cell r="H3386" t="str">
            <v>шт.</v>
          </cell>
          <cell r="I3386">
            <v>-4640</v>
          </cell>
          <cell r="O3386">
            <v>-9976</v>
          </cell>
          <cell r="X3386">
            <v>0</v>
          </cell>
          <cell r="Y3386">
            <v>0</v>
          </cell>
          <cell r="AE3386">
            <v>0</v>
          </cell>
          <cell r="AF3386">
            <v>0</v>
          </cell>
          <cell r="AK3386">
            <v>2.15</v>
          </cell>
          <cell r="AV3386">
            <v>1</v>
          </cell>
          <cell r="AW3386">
            <v>1</v>
          </cell>
          <cell r="BC3386">
            <v>1</v>
          </cell>
          <cell r="BZ3386">
            <v>70</v>
          </cell>
          <cell r="CA3386">
            <v>10</v>
          </cell>
          <cell r="CS3386">
            <v>0</v>
          </cell>
        </row>
        <row r="3387">
          <cell r="F3387" t="str">
            <v>21.1-25-13</v>
          </cell>
          <cell r="G3387" t="str">
            <v>Вода</v>
          </cell>
          <cell r="H3387" t="str">
            <v>м3</v>
          </cell>
          <cell r="I3387">
            <v>-92.8</v>
          </cell>
          <cell r="O3387">
            <v>-3938.43</v>
          </cell>
          <cell r="X3387">
            <v>0</v>
          </cell>
          <cell r="Y3387">
            <v>0</v>
          </cell>
          <cell r="AE3387">
            <v>0</v>
          </cell>
          <cell r="AF3387">
            <v>0</v>
          </cell>
          <cell r="AK3387">
            <v>42.44</v>
          </cell>
          <cell r="AV3387">
            <v>1</v>
          </cell>
          <cell r="AW3387">
            <v>1</v>
          </cell>
          <cell r="BC3387">
            <v>1</v>
          </cell>
          <cell r="BZ3387">
            <v>70</v>
          </cell>
          <cell r="CA3387">
            <v>10</v>
          </cell>
          <cell r="CS3387">
            <v>0</v>
          </cell>
        </row>
        <row r="3389">
          <cell r="G3389" t="str">
            <v>Уход за урнами (80шт.)</v>
          </cell>
        </row>
        <row r="3419">
          <cell r="G3419" t="str">
            <v>Содержание  твердых покрытий и подпорных стенок Москворецкой набережной ( S=1889,1 м2 + 506,82 м2)</v>
          </cell>
        </row>
        <row r="3423">
          <cell r="G3423" t="str">
            <v>Содержание твердых покрытий ( S=1889,1 м2</v>
          </cell>
        </row>
        <row r="3427">
          <cell r="F3427" t="str">
            <v>5.3-1101-15-1/1</v>
          </cell>
          <cell r="G3427" t="str">
            <v>Подметание тротуаров, придомовых и внутрибольничных проездов средствами малой механизации(   1889,1м2* 0,7 = 1322,37 м2)</v>
          </cell>
          <cell r="H3427" t="str">
            <v>1000 м2</v>
          </cell>
          <cell r="I3427">
            <v>1.32237</v>
          </cell>
          <cell r="P3427">
            <v>13404.94</v>
          </cell>
          <cell r="Q3427">
            <v>459083.81</v>
          </cell>
          <cell r="R3427">
            <v>187590.27</v>
          </cell>
          <cell r="X3427">
            <v>0</v>
          </cell>
          <cell r="Y3427">
            <v>0</v>
          </cell>
          <cell r="AE3427">
            <v>141859.14000000001</v>
          </cell>
          <cell r="AF3427">
            <v>0</v>
          </cell>
          <cell r="AL3427">
            <v>8.49</v>
          </cell>
          <cell r="AM3427">
            <v>290.76</v>
          </cell>
          <cell r="AN3427">
            <v>118.81</v>
          </cell>
          <cell r="AV3427">
            <v>1</v>
          </cell>
          <cell r="AW3427">
            <v>1</v>
          </cell>
          <cell r="BB3427">
            <v>1</v>
          </cell>
          <cell r="BC3427">
            <v>1</v>
          </cell>
          <cell r="BS3427">
            <v>1</v>
          </cell>
          <cell r="BZ3427">
            <v>70</v>
          </cell>
          <cell r="CA3427">
            <v>10</v>
          </cell>
          <cell r="CS3427">
            <v>141859.14000000001</v>
          </cell>
          <cell r="DD3427" t="str">
            <v>)*3*398</v>
          </cell>
          <cell r="DE3427" t="str">
            <v>)*3*398</v>
          </cell>
          <cell r="DF3427" t="str">
            <v>)*3*398</v>
          </cell>
        </row>
        <row r="3428">
          <cell r="F3428" t="str">
            <v>21.1-25-13</v>
          </cell>
          <cell r="G3428" t="str">
            <v>Вода</v>
          </cell>
          <cell r="H3428" t="str">
            <v>м3</v>
          </cell>
          <cell r="I3428">
            <v>-315.78195599999998</v>
          </cell>
          <cell r="O3428">
            <v>-13401.79</v>
          </cell>
          <cell r="X3428">
            <v>0</v>
          </cell>
          <cell r="Y3428">
            <v>0</v>
          </cell>
          <cell r="AE3428">
            <v>0</v>
          </cell>
          <cell r="AF3428">
            <v>0</v>
          </cell>
          <cell r="AK3428">
            <v>42.44</v>
          </cell>
          <cell r="AV3428">
            <v>1</v>
          </cell>
          <cell r="AW3428">
            <v>1</v>
          </cell>
          <cell r="BC3428">
            <v>1</v>
          </cell>
          <cell r="BZ3428">
            <v>70</v>
          </cell>
          <cell r="CA3428">
            <v>10</v>
          </cell>
          <cell r="CS3428">
            <v>0</v>
          </cell>
        </row>
        <row r="3429">
          <cell r="F3429" t="str">
            <v>5.3-1101-13-1/1</v>
          </cell>
          <cell r="G3429" t="str">
            <v>Подметание вручную дорожек и площадок с твердым покрытием( 1889,1 м2*0,3=566.73 м2)</v>
          </cell>
          <cell r="H3429" t="str">
            <v>100 м2</v>
          </cell>
          <cell r="I3429">
            <v>5.6673</v>
          </cell>
          <cell r="S3429">
            <v>234874.11</v>
          </cell>
          <cell r="U3429">
            <v>947.34586800000011</v>
          </cell>
          <cell r="X3429">
            <v>164411.88</v>
          </cell>
          <cell r="Y3429">
            <v>23487.41</v>
          </cell>
          <cell r="AE3429">
            <v>0</v>
          </cell>
          <cell r="AF3429">
            <v>41443.74</v>
          </cell>
          <cell r="AO3429">
            <v>34.71</v>
          </cell>
          <cell r="AQ3429">
            <v>0.14000000000000001</v>
          </cell>
          <cell r="AT3429">
            <v>70</v>
          </cell>
          <cell r="AU3429">
            <v>10</v>
          </cell>
          <cell r="AV3429">
            <v>1</v>
          </cell>
          <cell r="BA3429">
            <v>1</v>
          </cell>
          <cell r="BZ3429">
            <v>70</v>
          </cell>
          <cell r="CA3429">
            <v>10</v>
          </cell>
          <cell r="CS3429">
            <v>0</v>
          </cell>
          <cell r="DG3429" t="str">
            <v>)*3*398</v>
          </cell>
          <cell r="DI3429" t="str">
            <v>)*3*398</v>
          </cell>
        </row>
        <row r="3430">
          <cell r="F3430" t="str">
            <v>5.3-1101-13-1/1</v>
          </cell>
          <cell r="G3430" t="str">
            <v>Подметание вручную дорожек и площадок с твердым покрытием (  дополнительное подметание покрытий при средней засоренности в дни листопада)</v>
          </cell>
          <cell r="H3430" t="str">
            <v>100 м2</v>
          </cell>
          <cell r="I3430">
            <v>18.890999999999998</v>
          </cell>
          <cell r="S3430">
            <v>60325.01</v>
          </cell>
          <cell r="U3430">
            <v>243.31608</v>
          </cell>
          <cell r="X3430">
            <v>42227.51</v>
          </cell>
          <cell r="Y3430">
            <v>6032.5</v>
          </cell>
          <cell r="AE3430">
            <v>0</v>
          </cell>
          <cell r="AF3430">
            <v>3193.32</v>
          </cell>
          <cell r="AO3430">
            <v>34.71</v>
          </cell>
          <cell r="AQ3430">
            <v>0.14000000000000001</v>
          </cell>
          <cell r="AT3430">
            <v>70</v>
          </cell>
          <cell r="AU3430">
            <v>10</v>
          </cell>
          <cell r="AV3430">
            <v>1</v>
          </cell>
          <cell r="BA3430">
            <v>1</v>
          </cell>
          <cell r="BZ3430">
            <v>70</v>
          </cell>
          <cell r="CA3430">
            <v>10</v>
          </cell>
          <cell r="CS3430">
            <v>0</v>
          </cell>
          <cell r="DG3430" t="str">
            <v>)*1*92</v>
          </cell>
          <cell r="DI3430" t="str">
            <v>)*1*92</v>
          </cell>
        </row>
        <row r="3431">
          <cell r="F3431" t="str">
            <v>5.3-1101-15-5/1</v>
          </cell>
          <cell r="G3431" t="str">
            <v>Мытье тротуаров, придомовых и внутрибольничных проездов средствами малой механизации</v>
          </cell>
          <cell r="H3431" t="str">
            <v>1000 м2</v>
          </cell>
          <cell r="I3431">
            <v>1.8891</v>
          </cell>
          <cell r="P3431">
            <v>733.16</v>
          </cell>
          <cell r="Q3431">
            <v>2788.61</v>
          </cell>
          <cell r="R3431">
            <v>1139.47</v>
          </cell>
          <cell r="X3431">
            <v>0</v>
          </cell>
          <cell r="Y3431">
            <v>0</v>
          </cell>
          <cell r="AE3431">
            <v>603.17999999999995</v>
          </cell>
          <cell r="AF3431">
            <v>0</v>
          </cell>
          <cell r="AL3431">
            <v>194.05</v>
          </cell>
          <cell r="AM3431">
            <v>738.08</v>
          </cell>
          <cell r="AN3431">
            <v>301.58999999999997</v>
          </cell>
          <cell r="AV3431">
            <v>1</v>
          </cell>
          <cell r="AW3431">
            <v>1</v>
          </cell>
          <cell r="BB3431">
            <v>1</v>
          </cell>
          <cell r="BC3431">
            <v>1</v>
          </cell>
          <cell r="BS3431">
            <v>1</v>
          </cell>
          <cell r="BZ3431">
            <v>70</v>
          </cell>
          <cell r="CA3431">
            <v>10</v>
          </cell>
          <cell r="CS3431">
            <v>603.17999999999995</v>
          </cell>
          <cell r="DD3431" t="str">
            <v>)*1*2</v>
          </cell>
          <cell r="DE3431" t="str">
            <v>)*1*2</v>
          </cell>
          <cell r="DF3431" t="str">
            <v>)*1*2</v>
          </cell>
        </row>
        <row r="3432">
          <cell r="F3432" t="str">
            <v>21.1-25-13</v>
          </cell>
          <cell r="G3432" t="str">
            <v>Вода</v>
          </cell>
          <cell r="H3432" t="str">
            <v>м3</v>
          </cell>
          <cell r="I3432">
            <v>-4.2315839999999998</v>
          </cell>
          <cell r="O3432">
            <v>-179.59</v>
          </cell>
          <cell r="X3432">
            <v>0</v>
          </cell>
          <cell r="Y3432">
            <v>0</v>
          </cell>
          <cell r="AE3432">
            <v>0</v>
          </cell>
          <cell r="AF3432">
            <v>0</v>
          </cell>
          <cell r="AK3432">
            <v>42.44</v>
          </cell>
          <cell r="AV3432">
            <v>1</v>
          </cell>
          <cell r="AW3432">
            <v>1</v>
          </cell>
          <cell r="BC3432">
            <v>1</v>
          </cell>
          <cell r="BZ3432">
            <v>70</v>
          </cell>
          <cell r="CA3432">
            <v>10</v>
          </cell>
          <cell r="CS3432">
            <v>0</v>
          </cell>
        </row>
        <row r="3433">
          <cell r="F3433" t="str">
            <v>5.3-1101-15-4/1</v>
          </cell>
          <cell r="G3433" t="str">
            <v>Полив тротуаров, придомовых и внутрибольничных проездов средствами малой механизации</v>
          </cell>
          <cell r="H3433" t="str">
            <v>1000 м2</v>
          </cell>
          <cell r="I3433">
            <v>1.8891</v>
          </cell>
          <cell r="P3433">
            <v>5049.5600000000004</v>
          </cell>
          <cell r="Q3433">
            <v>159712.45000000001</v>
          </cell>
          <cell r="R3433">
            <v>65260.09</v>
          </cell>
          <cell r="X3433">
            <v>0</v>
          </cell>
          <cell r="Y3433">
            <v>0</v>
          </cell>
          <cell r="AE3433">
            <v>34545.599999999999</v>
          </cell>
          <cell r="AF3433">
            <v>0</v>
          </cell>
          <cell r="AL3433">
            <v>14.85</v>
          </cell>
          <cell r="AM3433">
            <v>469.69</v>
          </cell>
          <cell r="AN3433">
            <v>191.92</v>
          </cell>
          <cell r="AV3433">
            <v>1</v>
          </cell>
          <cell r="AW3433">
            <v>1</v>
          </cell>
          <cell r="BB3433">
            <v>1</v>
          </cell>
          <cell r="BC3433">
            <v>1</v>
          </cell>
          <cell r="BS3433">
            <v>1</v>
          </cell>
          <cell r="BZ3433">
            <v>70</v>
          </cell>
          <cell r="CA3433">
            <v>10</v>
          </cell>
          <cell r="CS3433">
            <v>34545.599999999999</v>
          </cell>
          <cell r="DD3433" t="str">
            <v>)*2*90</v>
          </cell>
          <cell r="DE3433" t="str">
            <v>)*2*90</v>
          </cell>
          <cell r="DF3433" t="str">
            <v>)*2*90</v>
          </cell>
        </row>
        <row r="3434">
          <cell r="F3434" t="str">
            <v>21.1-25-13</v>
          </cell>
          <cell r="G3434" t="str">
            <v>Вода</v>
          </cell>
          <cell r="H3434" t="str">
            <v>м3</v>
          </cell>
          <cell r="I3434">
            <v>-119.0133</v>
          </cell>
          <cell r="O3434">
            <v>-5050.92</v>
          </cell>
          <cell r="X3434">
            <v>0</v>
          </cell>
          <cell r="Y3434">
            <v>0</v>
          </cell>
          <cell r="AE3434">
            <v>0</v>
          </cell>
          <cell r="AF3434">
            <v>0</v>
          </cell>
          <cell r="AK3434">
            <v>42.44</v>
          </cell>
          <cell r="AV3434">
            <v>1</v>
          </cell>
          <cell r="AW3434">
            <v>1</v>
          </cell>
          <cell r="BC3434">
            <v>1</v>
          </cell>
          <cell r="BZ3434">
            <v>70</v>
          </cell>
          <cell r="CA3434">
            <v>10</v>
          </cell>
          <cell r="CS3434">
            <v>0</v>
          </cell>
        </row>
        <row r="3436">
          <cell r="G3436" t="str">
            <v>Содержание твердых покрытий ( S=1889,1 м2</v>
          </cell>
        </row>
        <row r="3466">
          <cell r="G3466" t="str">
            <v>Уход за подпорными стенками ( S=506,82 м2)</v>
          </cell>
        </row>
        <row r="3470">
          <cell r="F3470" t="str">
            <v>5.3-1101-5-1/1</v>
          </cell>
          <cell r="G3470" t="str">
            <v>Промывка оград железобетонных от пыли и грязи водой под напором( подпорные гранитные стенки)( прим.)</v>
          </cell>
          <cell r="H3470" t="str">
            <v>100 м2</v>
          </cell>
          <cell r="I3470">
            <v>5.0682</v>
          </cell>
          <cell r="P3470">
            <v>516.15</v>
          </cell>
          <cell r="Q3470">
            <v>33568.92</v>
          </cell>
          <cell r="R3470">
            <v>12380.4</v>
          </cell>
          <cell r="S3470">
            <v>5177.0600000000004</v>
          </cell>
          <cell r="U3470">
            <v>20.880984000000002</v>
          </cell>
          <cell r="X3470">
            <v>3623.94</v>
          </cell>
          <cell r="Y3470">
            <v>517.71</v>
          </cell>
          <cell r="AE3470">
            <v>2442.7600000000002</v>
          </cell>
          <cell r="AF3470">
            <v>1021.48</v>
          </cell>
          <cell r="AL3470">
            <v>25.46</v>
          </cell>
          <cell r="AM3470">
            <v>1655.86</v>
          </cell>
          <cell r="AN3470">
            <v>610.69000000000005</v>
          </cell>
          <cell r="AO3470">
            <v>255.37</v>
          </cell>
          <cell r="AQ3470">
            <v>1.03</v>
          </cell>
          <cell r="AT3470">
            <v>70</v>
          </cell>
          <cell r="AU3470">
            <v>10</v>
          </cell>
          <cell r="AV3470">
            <v>1</v>
          </cell>
          <cell r="AW3470">
            <v>1</v>
          </cell>
          <cell r="BA3470">
            <v>1</v>
          </cell>
          <cell r="BB3470">
            <v>1</v>
          </cell>
          <cell r="BC3470">
            <v>1</v>
          </cell>
          <cell r="BS3470">
            <v>1</v>
          </cell>
          <cell r="BZ3470">
            <v>70</v>
          </cell>
          <cell r="CA3470">
            <v>10</v>
          </cell>
          <cell r="CS3470">
            <v>2442.7600000000002</v>
          </cell>
          <cell r="DD3470" t="str">
            <v>)*1*4</v>
          </cell>
          <cell r="DE3470" t="str">
            <v>)*1*4</v>
          </cell>
          <cell r="DF3470" t="str">
            <v>)*1*4</v>
          </cell>
          <cell r="DG3470" t="str">
            <v>)*1*4</v>
          </cell>
          <cell r="DI3470" t="str">
            <v>)*1*4</v>
          </cell>
        </row>
        <row r="3471">
          <cell r="F3471" t="str">
            <v>21.1-25-13</v>
          </cell>
          <cell r="G3471" t="str">
            <v>Вода</v>
          </cell>
          <cell r="H3471" t="str">
            <v>м3</v>
          </cell>
          <cell r="I3471">
            <v>-12.163679999999999</v>
          </cell>
          <cell r="O3471">
            <v>-516.23</v>
          </cell>
          <cell r="X3471">
            <v>0</v>
          </cell>
          <cell r="Y3471">
            <v>0</v>
          </cell>
          <cell r="AE3471">
            <v>0</v>
          </cell>
          <cell r="AF3471">
            <v>0</v>
          </cell>
          <cell r="AK3471">
            <v>42.44</v>
          </cell>
          <cell r="AV3471">
            <v>1</v>
          </cell>
          <cell r="AW3471">
            <v>1</v>
          </cell>
          <cell r="BC3471">
            <v>1</v>
          </cell>
          <cell r="BZ3471">
            <v>70</v>
          </cell>
          <cell r="CA3471">
            <v>10</v>
          </cell>
          <cell r="CS3471">
            <v>0</v>
          </cell>
        </row>
        <row r="3472">
          <cell r="F3472" t="str">
            <v>5.3-1101-7-1/1</v>
          </cell>
          <cell r="G3472" t="str">
            <v>Протирка оград железобетонных от пыли и грязи( подпорные гранитные стенки)(прим.)</v>
          </cell>
          <cell r="H3472" t="str">
            <v>100 м2</v>
          </cell>
          <cell r="I3472">
            <v>5.0682</v>
          </cell>
          <cell r="P3472">
            <v>274.7</v>
          </cell>
          <cell r="S3472">
            <v>91100.39</v>
          </cell>
          <cell r="U3472">
            <v>367.44450000000001</v>
          </cell>
          <cell r="X3472">
            <v>63770.27</v>
          </cell>
          <cell r="Y3472">
            <v>9110.0400000000009</v>
          </cell>
          <cell r="AE3472">
            <v>0</v>
          </cell>
          <cell r="AF3472">
            <v>17974.900000000001</v>
          </cell>
          <cell r="AL3472">
            <v>5.42</v>
          </cell>
          <cell r="AO3472">
            <v>1797.49</v>
          </cell>
          <cell r="AQ3472">
            <v>7.25</v>
          </cell>
          <cell r="AT3472">
            <v>70</v>
          </cell>
          <cell r="AU3472">
            <v>10</v>
          </cell>
          <cell r="AV3472">
            <v>1</v>
          </cell>
          <cell r="AW3472">
            <v>1</v>
          </cell>
          <cell r="BA3472">
            <v>1</v>
          </cell>
          <cell r="BC3472">
            <v>1</v>
          </cell>
          <cell r="BZ3472">
            <v>70</v>
          </cell>
          <cell r="CA3472">
            <v>10</v>
          </cell>
          <cell r="CS3472">
            <v>0</v>
          </cell>
          <cell r="DD3472" t="str">
            <v>)*1*10</v>
          </cell>
          <cell r="DG3472" t="str">
            <v>)*1*10</v>
          </cell>
          <cell r="DI3472" t="str">
            <v>)*1*10</v>
          </cell>
        </row>
        <row r="3473">
          <cell r="F3473" t="str">
            <v>21.1-25-13</v>
          </cell>
          <cell r="G3473" t="str">
            <v>Вода</v>
          </cell>
          <cell r="H3473" t="str">
            <v>м3</v>
          </cell>
          <cell r="I3473">
            <v>-1.0136400000000001</v>
          </cell>
          <cell r="O3473">
            <v>-43.02</v>
          </cell>
          <cell r="X3473">
            <v>0</v>
          </cell>
          <cell r="Y3473">
            <v>0</v>
          </cell>
          <cell r="AE3473">
            <v>0</v>
          </cell>
          <cell r="AF3473">
            <v>0</v>
          </cell>
          <cell r="AK3473">
            <v>42.44</v>
          </cell>
          <cell r="AV3473">
            <v>1</v>
          </cell>
          <cell r="AW3473">
            <v>1</v>
          </cell>
          <cell r="BC3473">
            <v>1</v>
          </cell>
          <cell r="BZ3473">
            <v>70</v>
          </cell>
          <cell r="CA3473">
            <v>10</v>
          </cell>
          <cell r="CS3473">
            <v>0</v>
          </cell>
        </row>
        <row r="3475">
          <cell r="G3475" t="str">
            <v>Уход за подпорными стенками ( S=506,82 м2)</v>
          </cell>
        </row>
        <row r="3505">
          <cell r="G3505" t="str">
            <v>Содержание  твердых покрытий и подпорных стенок Москворецкой набережной ( S=1889,1 м2 + 506,82 м2)</v>
          </cell>
        </row>
        <row r="3535">
          <cell r="G3535" t="str">
            <v>Уход за подпорными гранитными стенками ( S= 3271,02 м2)</v>
          </cell>
        </row>
        <row r="3539">
          <cell r="F3539" t="str">
            <v>5.3-1101-5-1/1</v>
          </cell>
          <cell r="G3539" t="str">
            <v>Промывка оград железобетонных от пыли и грязи водой под напором( подпорные гранитные стенки)( прим.)</v>
          </cell>
          <cell r="H3539" t="str">
            <v>100 м2</v>
          </cell>
          <cell r="I3539">
            <v>32.7102</v>
          </cell>
          <cell r="P3539">
            <v>3331.21</v>
          </cell>
          <cell r="Q3539">
            <v>216654.05</v>
          </cell>
          <cell r="R3539">
            <v>79903.17</v>
          </cell>
          <cell r="S3539">
            <v>33412.82</v>
          </cell>
          <cell r="U3539">
            <v>134.76602400000002</v>
          </cell>
          <cell r="X3539">
            <v>23388.97</v>
          </cell>
          <cell r="Y3539">
            <v>3341.28</v>
          </cell>
          <cell r="AE3539">
            <v>2442.7600000000002</v>
          </cell>
          <cell r="AF3539">
            <v>1021.48</v>
          </cell>
          <cell r="AL3539">
            <v>25.46</v>
          </cell>
          <cell r="AM3539">
            <v>1655.86</v>
          </cell>
          <cell r="AN3539">
            <v>610.69000000000005</v>
          </cell>
          <cell r="AO3539">
            <v>255.37</v>
          </cell>
          <cell r="AQ3539">
            <v>1.03</v>
          </cell>
          <cell r="AT3539">
            <v>70</v>
          </cell>
          <cell r="AU3539">
            <v>10</v>
          </cell>
          <cell r="AV3539">
            <v>1</v>
          </cell>
          <cell r="AW3539">
            <v>1</v>
          </cell>
          <cell r="BA3539">
            <v>1</v>
          </cell>
          <cell r="BB3539">
            <v>1</v>
          </cell>
          <cell r="BC3539">
            <v>1</v>
          </cell>
          <cell r="BS3539">
            <v>1</v>
          </cell>
          <cell r="BZ3539">
            <v>70</v>
          </cell>
          <cell r="CA3539">
            <v>10</v>
          </cell>
          <cell r="CS3539">
            <v>2442.7600000000002</v>
          </cell>
          <cell r="DD3539" t="str">
            <v>)*1*4</v>
          </cell>
          <cell r="DE3539" t="str">
            <v>)*1*4</v>
          </cell>
          <cell r="DF3539" t="str">
            <v>)*1*4</v>
          </cell>
          <cell r="DG3539" t="str">
            <v>)*1*4</v>
          </cell>
          <cell r="DI3539" t="str">
            <v>)*1*4</v>
          </cell>
        </row>
        <row r="3540">
          <cell r="F3540" t="str">
            <v>21.1-25-13</v>
          </cell>
          <cell r="G3540" t="str">
            <v>Вода</v>
          </cell>
          <cell r="H3540" t="str">
            <v>м3</v>
          </cell>
          <cell r="I3540">
            <v>-78.504480000000001</v>
          </cell>
          <cell r="O3540">
            <v>-3331.73</v>
          </cell>
          <cell r="X3540">
            <v>0</v>
          </cell>
          <cell r="Y3540">
            <v>0</v>
          </cell>
          <cell r="AE3540">
            <v>0</v>
          </cell>
          <cell r="AF3540">
            <v>0</v>
          </cell>
          <cell r="AK3540">
            <v>42.44</v>
          </cell>
          <cell r="AV3540">
            <v>1</v>
          </cell>
          <cell r="AW3540">
            <v>1</v>
          </cell>
          <cell r="BC3540">
            <v>1</v>
          </cell>
          <cell r="BZ3540">
            <v>70</v>
          </cell>
          <cell r="CA3540">
            <v>10</v>
          </cell>
          <cell r="CS3540">
            <v>0</v>
          </cell>
        </row>
        <row r="3541">
          <cell r="F3541" t="str">
            <v>5.3-1101-7-1/1</v>
          </cell>
          <cell r="G3541" t="str">
            <v>Протирка оград железобетонных от пыли и грязи( подпорные гранитные стенки)(прим.)</v>
          </cell>
          <cell r="H3541" t="str">
            <v>100 м2</v>
          </cell>
          <cell r="I3541">
            <v>32.7102</v>
          </cell>
          <cell r="P3541">
            <v>1772.89</v>
          </cell>
          <cell r="S3541">
            <v>587962.56999999995</v>
          </cell>
          <cell r="U3541">
            <v>2371.4895000000001</v>
          </cell>
          <cell r="X3541">
            <v>411573.8</v>
          </cell>
          <cell r="Y3541">
            <v>58796.26</v>
          </cell>
          <cell r="AE3541">
            <v>0</v>
          </cell>
          <cell r="AF3541">
            <v>17974.900000000001</v>
          </cell>
          <cell r="AL3541">
            <v>5.42</v>
          </cell>
          <cell r="AO3541">
            <v>1797.49</v>
          </cell>
          <cell r="AQ3541">
            <v>7.25</v>
          </cell>
          <cell r="AT3541">
            <v>70</v>
          </cell>
          <cell r="AU3541">
            <v>10</v>
          </cell>
          <cell r="AV3541">
            <v>1</v>
          </cell>
          <cell r="AW3541">
            <v>1</v>
          </cell>
          <cell r="BA3541">
            <v>1</v>
          </cell>
          <cell r="BC3541">
            <v>1</v>
          </cell>
          <cell r="BZ3541">
            <v>70</v>
          </cell>
          <cell r="CA3541">
            <v>10</v>
          </cell>
          <cell r="CS3541">
            <v>0</v>
          </cell>
          <cell r="DD3541" t="str">
            <v>)*1*10</v>
          </cell>
          <cell r="DG3541" t="str">
            <v>)*1*10</v>
          </cell>
          <cell r="DI3541" t="str">
            <v>)*1*10</v>
          </cell>
        </row>
        <row r="3542">
          <cell r="F3542" t="str">
            <v>21.1-25-13</v>
          </cell>
          <cell r="G3542" t="str">
            <v>Вода</v>
          </cell>
          <cell r="H3542" t="str">
            <v>м3</v>
          </cell>
          <cell r="I3542">
            <v>-6.5420400000000001</v>
          </cell>
          <cell r="O3542">
            <v>-277.64</v>
          </cell>
          <cell r="X3542">
            <v>0</v>
          </cell>
          <cell r="Y3542">
            <v>0</v>
          </cell>
          <cell r="AE3542">
            <v>0</v>
          </cell>
          <cell r="AF3542">
            <v>0</v>
          </cell>
          <cell r="AK3542">
            <v>42.44</v>
          </cell>
          <cell r="AV3542">
            <v>1</v>
          </cell>
          <cell r="AW3542">
            <v>1</v>
          </cell>
          <cell r="BC3542">
            <v>1</v>
          </cell>
          <cell r="BZ3542">
            <v>70</v>
          </cell>
          <cell r="CA3542">
            <v>10</v>
          </cell>
          <cell r="CS3542">
            <v>0</v>
          </cell>
        </row>
        <row r="3544">
          <cell r="G3544" t="str">
            <v>Уход за подпорными гранитными стенками ( S= 3271,02 м2)</v>
          </cell>
        </row>
        <row r="3574">
          <cell r="G3574" t="str">
            <v>Уход за ограждениями бетонными, обшитые деревом( S=1050 М2)</v>
          </cell>
        </row>
        <row r="3578">
          <cell r="F3578" t="str">
            <v>калькуляция</v>
          </cell>
          <cell r="G3578" t="str">
            <v>Протирка ограждений бетонных, обшитых деревом</v>
          </cell>
          <cell r="H3578" t="str">
            <v>м2</v>
          </cell>
          <cell r="I3578">
            <v>1050</v>
          </cell>
          <cell r="S3578">
            <v>1266237</v>
          </cell>
          <cell r="X3578">
            <v>0</v>
          </cell>
          <cell r="Y3578">
            <v>0</v>
          </cell>
          <cell r="AE3578">
            <v>0</v>
          </cell>
          <cell r="AF3578">
            <v>1205.94</v>
          </cell>
          <cell r="AO3578">
            <v>3.03</v>
          </cell>
          <cell r="AV3578">
            <v>1</v>
          </cell>
          <cell r="BA3578">
            <v>1</v>
          </cell>
          <cell r="BZ3578">
            <v>0</v>
          </cell>
          <cell r="CA3578">
            <v>0</v>
          </cell>
          <cell r="CS3578">
            <v>0</v>
          </cell>
          <cell r="DG3578" t="str">
            <v>)*1*398</v>
          </cell>
        </row>
        <row r="3579">
          <cell r="F3579" t="str">
            <v>цена поставщика</v>
          </cell>
          <cell r="G3579" t="str">
            <v>Очищающее средство для деревянных полов Wood Clean Pramol</v>
          </cell>
          <cell r="H3579" t="str">
            <v>л</v>
          </cell>
          <cell r="I3579">
            <v>41.79</v>
          </cell>
          <cell r="O3579">
            <v>18108.86</v>
          </cell>
          <cell r="X3579">
            <v>0</v>
          </cell>
          <cell r="Y3579">
            <v>0</v>
          </cell>
          <cell r="AE3579">
            <v>0</v>
          </cell>
          <cell r="AF3579">
            <v>0</v>
          </cell>
          <cell r="AK3579">
            <v>433.33</v>
          </cell>
          <cell r="AV3579">
            <v>1</v>
          </cell>
          <cell r="AW3579">
            <v>1</v>
          </cell>
          <cell r="BC3579">
            <v>1</v>
          </cell>
          <cell r="BZ3579">
            <v>0</v>
          </cell>
          <cell r="CA3579">
            <v>0</v>
          </cell>
          <cell r="CS3579">
            <v>0</v>
          </cell>
        </row>
        <row r="3581">
          <cell r="G3581" t="str">
            <v>Уход за ограждениями бетонными, обшитые деревом( S=1050 М2)</v>
          </cell>
        </row>
        <row r="3611">
          <cell r="G3611" t="str">
            <v>Содержание покрытий Варьиной площади + Москворецкая улица ( S= 6574,7м2 )</v>
          </cell>
        </row>
        <row r="3615">
          <cell r="F3615" t="str">
            <v>5.3-1101-15-1/1</v>
          </cell>
          <cell r="G3615" t="str">
            <v>Подметание тротуаров, придомовых и внутрибольничных проездов средствами малой механизации ( 6574,7 м2 *0,7=4602,29м2)</v>
          </cell>
          <cell r="H3615" t="str">
            <v>1000 м2</v>
          </cell>
          <cell r="I3615">
            <v>4.60229</v>
          </cell>
          <cell r="P3615">
            <v>46653.69</v>
          </cell>
          <cell r="Q3615">
            <v>1597765.24</v>
          </cell>
          <cell r="R3615">
            <v>652876.9</v>
          </cell>
          <cell r="X3615">
            <v>0</v>
          </cell>
          <cell r="Y3615">
            <v>0</v>
          </cell>
          <cell r="AE3615">
            <v>141859.14000000001</v>
          </cell>
          <cell r="AF3615">
            <v>0</v>
          </cell>
          <cell r="AL3615">
            <v>8.49</v>
          </cell>
          <cell r="AM3615">
            <v>290.76</v>
          </cell>
          <cell r="AN3615">
            <v>118.81</v>
          </cell>
          <cell r="AV3615">
            <v>1</v>
          </cell>
          <cell r="AW3615">
            <v>1</v>
          </cell>
          <cell r="BB3615">
            <v>1</v>
          </cell>
          <cell r="BC3615">
            <v>1</v>
          </cell>
          <cell r="BS3615">
            <v>1</v>
          </cell>
          <cell r="BZ3615">
            <v>70</v>
          </cell>
          <cell r="CA3615">
            <v>10</v>
          </cell>
          <cell r="CS3615">
            <v>141859.14000000001</v>
          </cell>
          <cell r="DD3615" t="str">
            <v>)*3*398</v>
          </cell>
          <cell r="DE3615" t="str">
            <v>)*3*398</v>
          </cell>
          <cell r="DF3615" t="str">
            <v>)*3*398</v>
          </cell>
        </row>
        <row r="3616">
          <cell r="F3616" t="str">
            <v>21.1-25-13</v>
          </cell>
          <cell r="G3616" t="str">
            <v>Вода</v>
          </cell>
          <cell r="H3616" t="str">
            <v>м3</v>
          </cell>
          <cell r="I3616">
            <v>-1099.026852</v>
          </cell>
          <cell r="O3616">
            <v>-46642.7</v>
          </cell>
          <cell r="X3616">
            <v>0</v>
          </cell>
          <cell r="Y3616">
            <v>0</v>
          </cell>
          <cell r="AE3616">
            <v>0</v>
          </cell>
          <cell r="AF3616">
            <v>0</v>
          </cell>
          <cell r="AK3616">
            <v>42.44</v>
          </cell>
          <cell r="AV3616">
            <v>1</v>
          </cell>
          <cell r="AW3616">
            <v>1</v>
          </cell>
          <cell r="BC3616">
            <v>1</v>
          </cell>
          <cell r="BZ3616">
            <v>70</v>
          </cell>
          <cell r="CA3616">
            <v>10</v>
          </cell>
          <cell r="CS3616">
            <v>0</v>
          </cell>
        </row>
        <row r="3617">
          <cell r="F3617" t="str">
            <v>5.3-1101-13-1/1</v>
          </cell>
          <cell r="G3617" t="str">
            <v>Подметание вручную дорожек и площадок с твердым покрытием ( 6574,7 м2* 0,3= 1972,41 м2)</v>
          </cell>
          <cell r="H3617" t="str">
            <v>100 м2</v>
          </cell>
          <cell r="I3617">
            <v>19.7241</v>
          </cell>
          <cell r="S3617">
            <v>817440.47</v>
          </cell>
          <cell r="U3617">
            <v>3297.0805560000003</v>
          </cell>
          <cell r="X3617">
            <v>572208.32999999996</v>
          </cell>
          <cell r="Y3617">
            <v>81744.05</v>
          </cell>
          <cell r="AE3617">
            <v>0</v>
          </cell>
          <cell r="AF3617">
            <v>41443.74</v>
          </cell>
          <cell r="AO3617">
            <v>34.71</v>
          </cell>
          <cell r="AQ3617">
            <v>0.14000000000000001</v>
          </cell>
          <cell r="AT3617">
            <v>70</v>
          </cell>
          <cell r="AU3617">
            <v>10</v>
          </cell>
          <cell r="AV3617">
            <v>1</v>
          </cell>
          <cell r="BA3617">
            <v>1</v>
          </cell>
          <cell r="BZ3617">
            <v>70</v>
          </cell>
          <cell r="CA3617">
            <v>10</v>
          </cell>
          <cell r="CS3617">
            <v>0</v>
          </cell>
          <cell r="DG3617" t="str">
            <v>)*3*398</v>
          </cell>
          <cell r="DI3617" t="str">
            <v>)*3*398</v>
          </cell>
        </row>
        <row r="3618">
          <cell r="F3618" t="str">
            <v>5.3-1101-13-1/1</v>
          </cell>
          <cell r="G3618" t="str">
            <v>Подметание вручную дорожек и площадок с твердым покрытием( дополнительное подметание покрытий при средней засоренности в осенний период)</v>
          </cell>
          <cell r="H3618" t="str">
            <v>100 м2</v>
          </cell>
          <cell r="I3618">
            <v>65.747</v>
          </cell>
          <cell r="S3618">
            <v>136924.70000000001</v>
          </cell>
          <cell r="U3618">
            <v>552.27480000000003</v>
          </cell>
          <cell r="X3618">
            <v>95847.29</v>
          </cell>
          <cell r="Y3618">
            <v>13692.47</v>
          </cell>
          <cell r="AE3618">
            <v>0</v>
          </cell>
          <cell r="AF3618">
            <v>2082.6</v>
          </cell>
          <cell r="AO3618">
            <v>34.71</v>
          </cell>
          <cell r="AQ3618">
            <v>0.14000000000000001</v>
          </cell>
          <cell r="AT3618">
            <v>70</v>
          </cell>
          <cell r="AU3618">
            <v>10</v>
          </cell>
          <cell r="AV3618">
            <v>1</v>
          </cell>
          <cell r="BA3618">
            <v>1</v>
          </cell>
          <cell r="BZ3618">
            <v>70</v>
          </cell>
          <cell r="CA3618">
            <v>10</v>
          </cell>
          <cell r="CS3618">
            <v>0</v>
          </cell>
          <cell r="DG3618" t="str">
            <v>)*1*60</v>
          </cell>
          <cell r="DI3618" t="str">
            <v>)*1*60</v>
          </cell>
        </row>
        <row r="3619">
          <cell r="F3619" t="str">
            <v>5.3-1101-15-5/1</v>
          </cell>
          <cell r="G3619" t="str">
            <v>Мытье тротуаров, придомовых и внутрибольничных проездов средствами малой механизации</v>
          </cell>
          <cell r="H3619" t="str">
            <v>1000 м2</v>
          </cell>
          <cell r="I3619">
            <v>6.5747</v>
          </cell>
          <cell r="P3619">
            <v>2551.64</v>
          </cell>
          <cell r="Q3619">
            <v>9705.31</v>
          </cell>
          <cell r="R3619">
            <v>3965.73</v>
          </cell>
          <cell r="X3619">
            <v>0</v>
          </cell>
          <cell r="Y3619">
            <v>0</v>
          </cell>
          <cell r="AE3619">
            <v>603.17999999999995</v>
          </cell>
          <cell r="AF3619">
            <v>0</v>
          </cell>
          <cell r="AL3619">
            <v>194.05</v>
          </cell>
          <cell r="AM3619">
            <v>738.08</v>
          </cell>
          <cell r="AN3619">
            <v>301.58999999999997</v>
          </cell>
          <cell r="AV3619">
            <v>1</v>
          </cell>
          <cell r="AW3619">
            <v>1</v>
          </cell>
          <cell r="BB3619">
            <v>1</v>
          </cell>
          <cell r="BC3619">
            <v>1</v>
          </cell>
          <cell r="BS3619">
            <v>1</v>
          </cell>
          <cell r="BZ3619">
            <v>70</v>
          </cell>
          <cell r="CA3619">
            <v>10</v>
          </cell>
          <cell r="CS3619">
            <v>603.17999999999995</v>
          </cell>
          <cell r="DD3619" t="str">
            <v>)*1*2</v>
          </cell>
          <cell r="DE3619" t="str">
            <v>)*1*2</v>
          </cell>
          <cell r="DF3619" t="str">
            <v>)*1*2</v>
          </cell>
        </row>
        <row r="3620">
          <cell r="F3620" t="str">
            <v>21.1-25-13</v>
          </cell>
          <cell r="G3620" t="str">
            <v>Вода</v>
          </cell>
          <cell r="H3620" t="str">
            <v>м3</v>
          </cell>
          <cell r="I3620">
            <v>-14.727328000000002</v>
          </cell>
          <cell r="O3620">
            <v>-625.03</v>
          </cell>
          <cell r="X3620">
            <v>0</v>
          </cell>
          <cell r="Y3620">
            <v>0</v>
          </cell>
          <cell r="AE3620">
            <v>0</v>
          </cell>
          <cell r="AF3620">
            <v>0</v>
          </cell>
          <cell r="AK3620">
            <v>42.44</v>
          </cell>
          <cell r="AV3620">
            <v>1</v>
          </cell>
          <cell r="AW3620">
            <v>1</v>
          </cell>
          <cell r="BC3620">
            <v>1</v>
          </cell>
          <cell r="BZ3620">
            <v>70</v>
          </cell>
          <cell r="CA3620">
            <v>10</v>
          </cell>
          <cell r="CS3620">
            <v>0</v>
          </cell>
        </row>
        <row r="3621">
          <cell r="F3621" t="str">
            <v>5.3-1101-15-4/1</v>
          </cell>
          <cell r="G3621" t="str">
            <v>Полив тротуаров, придомовых и внутрибольничных проездов средствами малой механизации</v>
          </cell>
          <cell r="H3621" t="str">
            <v>1000 м2</v>
          </cell>
          <cell r="I3621">
            <v>6.5747</v>
          </cell>
          <cell r="P3621">
            <v>17574.169999999998</v>
          </cell>
          <cell r="Q3621">
            <v>555852.75</v>
          </cell>
          <cell r="R3621">
            <v>227126.96</v>
          </cell>
          <cell r="X3621">
            <v>0</v>
          </cell>
          <cell r="Y3621">
            <v>0</v>
          </cell>
          <cell r="AE3621">
            <v>34545.599999999999</v>
          </cell>
          <cell r="AF3621">
            <v>0</v>
          </cell>
          <cell r="AL3621">
            <v>14.85</v>
          </cell>
          <cell r="AM3621">
            <v>469.69</v>
          </cell>
          <cell r="AN3621">
            <v>191.92</v>
          </cell>
          <cell r="AV3621">
            <v>1</v>
          </cell>
          <cell r="AW3621">
            <v>1</v>
          </cell>
          <cell r="BB3621">
            <v>1</v>
          </cell>
          <cell r="BC3621">
            <v>1</v>
          </cell>
          <cell r="BS3621">
            <v>1</v>
          </cell>
          <cell r="BZ3621">
            <v>70</v>
          </cell>
          <cell r="CA3621">
            <v>10</v>
          </cell>
          <cell r="CS3621">
            <v>34545.599999999999</v>
          </cell>
          <cell r="DD3621" t="str">
            <v>)*2*90</v>
          </cell>
          <cell r="DE3621" t="str">
            <v>)*2*90</v>
          </cell>
          <cell r="DF3621" t="str">
            <v>)*2*90</v>
          </cell>
        </row>
        <row r="3622">
          <cell r="F3622" t="str">
            <v>21.1-25-13</v>
          </cell>
          <cell r="G3622" t="str">
            <v>Вода</v>
          </cell>
          <cell r="H3622" t="str">
            <v>м3</v>
          </cell>
          <cell r="I3622">
            <v>-414.20609999999999</v>
          </cell>
          <cell r="O3622">
            <v>-17578.91</v>
          </cell>
          <cell r="X3622">
            <v>0</v>
          </cell>
          <cell r="Y3622">
            <v>0</v>
          </cell>
          <cell r="AE3622">
            <v>0</v>
          </cell>
          <cell r="AF3622">
            <v>0</v>
          </cell>
          <cell r="AK3622">
            <v>42.44</v>
          </cell>
          <cell r="AV3622">
            <v>1</v>
          </cell>
          <cell r="AW3622">
            <v>1</v>
          </cell>
          <cell r="BC3622">
            <v>1</v>
          </cell>
          <cell r="BZ3622">
            <v>70</v>
          </cell>
          <cell r="CA3622">
            <v>10</v>
          </cell>
          <cell r="CS3622">
            <v>0</v>
          </cell>
        </row>
        <row r="3624">
          <cell r="G3624" t="str">
            <v>Содержание покрытий Варьиной площади + Москворецкая улица ( S= 6574,7м2 )</v>
          </cell>
        </row>
        <row r="3654">
          <cell r="G3654" t="str">
            <v>Уход за водоотводными лотками( 1480,34М )</v>
          </cell>
        </row>
        <row r="3658">
          <cell r="F3658" t="str">
            <v>5.3-1101-20-1/1</v>
          </cell>
          <cell r="G3658" t="str">
            <v>Прочистка водоотводных лотков в отмостке ( 1480,34 м )</v>
          </cell>
          <cell r="H3658" t="str">
            <v>10 м</v>
          </cell>
          <cell r="I3658">
            <v>148.03399999999999</v>
          </cell>
          <cell r="S3658">
            <v>654221.46</v>
          </cell>
          <cell r="U3658">
            <v>3671.2431999999999</v>
          </cell>
          <cell r="X3658">
            <v>457955.02</v>
          </cell>
          <cell r="Y3658">
            <v>65422.15</v>
          </cell>
          <cell r="AE3658">
            <v>0</v>
          </cell>
          <cell r="AF3658">
            <v>4419.3999999999996</v>
          </cell>
          <cell r="AO3658">
            <v>220.97</v>
          </cell>
          <cell r="AQ3658">
            <v>1.24</v>
          </cell>
          <cell r="AT3658">
            <v>70</v>
          </cell>
          <cell r="AU3658">
            <v>10</v>
          </cell>
          <cell r="AV3658">
            <v>1</v>
          </cell>
          <cell r="BA3658">
            <v>1</v>
          </cell>
          <cell r="BZ3658">
            <v>70</v>
          </cell>
          <cell r="CA3658">
            <v>10</v>
          </cell>
          <cell r="CS3658">
            <v>0</v>
          </cell>
          <cell r="DG3658" t="str">
            <v>)*1*20</v>
          </cell>
          <cell r="DI3658" t="str">
            <v>)*1*20</v>
          </cell>
        </row>
        <row r="3660">
          <cell r="G3660" t="str">
            <v>Уход за водоотводными лотками( 1480,34М )</v>
          </cell>
        </row>
        <row r="3690">
          <cell r="G3690" t="str">
            <v>Содержание информационных стендов и указателей ( 73шт.)</v>
          </cell>
        </row>
        <row r="3694">
          <cell r="F3694" t="str">
            <v>5.3-1101-8-1/1</v>
          </cell>
          <cell r="G3694" t="str">
            <v>Мытье информационных щитов</v>
          </cell>
          <cell r="H3694" t="str">
            <v>100 м2</v>
          </cell>
          <cell r="I3694">
            <v>0.38100000000000001</v>
          </cell>
          <cell r="P3694">
            <v>9.8800000000000008</v>
          </cell>
          <cell r="S3694">
            <v>4556.82</v>
          </cell>
          <cell r="U3694">
            <v>18.379439999999999</v>
          </cell>
          <cell r="X3694">
            <v>3189.77</v>
          </cell>
          <cell r="Y3694">
            <v>455.68</v>
          </cell>
          <cell r="AE3694">
            <v>0</v>
          </cell>
          <cell r="AF3694">
            <v>11960.16</v>
          </cell>
          <cell r="AL3694">
            <v>2.16</v>
          </cell>
          <cell r="AO3694">
            <v>996.68</v>
          </cell>
          <cell r="AQ3694">
            <v>4.0199999999999996</v>
          </cell>
          <cell r="AT3694">
            <v>70</v>
          </cell>
          <cell r="AU3694">
            <v>10</v>
          </cell>
          <cell r="AV3694">
            <v>1</v>
          </cell>
          <cell r="AW3694">
            <v>1</v>
          </cell>
          <cell r="BA3694">
            <v>1</v>
          </cell>
          <cell r="BC3694">
            <v>1</v>
          </cell>
          <cell r="BZ3694">
            <v>70</v>
          </cell>
          <cell r="CA3694">
            <v>10</v>
          </cell>
          <cell r="CS3694">
            <v>0</v>
          </cell>
          <cell r="DD3694" t="str">
            <v>)*1*12</v>
          </cell>
          <cell r="DG3694" t="str">
            <v>)*1*12</v>
          </cell>
          <cell r="DI3694" t="str">
            <v>)*1*12</v>
          </cell>
        </row>
        <row r="3695">
          <cell r="F3695" t="str">
            <v>21.1-25-13</v>
          </cell>
          <cell r="G3695" t="str">
            <v>Вода</v>
          </cell>
          <cell r="H3695" t="str">
            <v>м3</v>
          </cell>
          <cell r="I3695">
            <v>-6.8580000000000002E-2</v>
          </cell>
          <cell r="O3695">
            <v>-2.91</v>
          </cell>
          <cell r="X3695">
            <v>0</v>
          </cell>
          <cell r="Y3695">
            <v>0</v>
          </cell>
          <cell r="AE3695">
            <v>0</v>
          </cell>
          <cell r="AF3695">
            <v>0</v>
          </cell>
          <cell r="AK3695">
            <v>42.44</v>
          </cell>
          <cell r="AV3695">
            <v>1</v>
          </cell>
          <cell r="AW3695">
            <v>1</v>
          </cell>
          <cell r="BC3695">
            <v>1</v>
          </cell>
          <cell r="BZ3695">
            <v>70</v>
          </cell>
          <cell r="CA3695">
            <v>10</v>
          </cell>
          <cell r="CS3695">
            <v>0</v>
          </cell>
        </row>
        <row r="3697">
          <cell r="G3697" t="str">
            <v>Содержание информационных стендов и указателей ( 73шт.)</v>
          </cell>
        </row>
        <row r="3727">
          <cell r="G3727" t="str">
            <v>Зенитные фонари</v>
          </cell>
        </row>
        <row r="3731">
          <cell r="F3731" t="str">
            <v>калькуляция</v>
          </cell>
          <cell r="G3731" t="str">
            <v>Мытье зенитных фонарей</v>
          </cell>
          <cell r="H3731" t="str">
            <v>м2</v>
          </cell>
          <cell r="I3731">
            <v>381.32</v>
          </cell>
          <cell r="S3731">
            <v>157248.74</v>
          </cell>
          <cell r="X3731">
            <v>0</v>
          </cell>
          <cell r="Y3731">
            <v>0</v>
          </cell>
          <cell r="AE3731">
            <v>0</v>
          </cell>
          <cell r="AF3731">
            <v>412.38</v>
          </cell>
          <cell r="AO3731">
            <v>7.11</v>
          </cell>
          <cell r="AV3731">
            <v>1</v>
          </cell>
          <cell r="BA3731">
            <v>1</v>
          </cell>
          <cell r="BZ3731">
            <v>0</v>
          </cell>
          <cell r="CA3731">
            <v>0</v>
          </cell>
          <cell r="CS3731">
            <v>0</v>
          </cell>
          <cell r="DG3731" t="str">
            <v>)*1*58</v>
          </cell>
        </row>
        <row r="3732">
          <cell r="F3732" t="str">
            <v>цена поставщика</v>
          </cell>
          <cell r="G3732" t="str">
            <v>Crystal Optic средство для мытья стекол и зеркал, 5 л, Prosept 114-5</v>
          </cell>
          <cell r="H3732" t="str">
            <v>л</v>
          </cell>
          <cell r="I3732">
            <v>221.16560000000001</v>
          </cell>
          <cell r="O3732">
            <v>26612.86</v>
          </cell>
          <cell r="X3732">
            <v>0</v>
          </cell>
          <cell r="Y3732">
            <v>0</v>
          </cell>
          <cell r="AE3732">
            <v>0</v>
          </cell>
          <cell r="AF3732">
            <v>0</v>
          </cell>
          <cell r="AK3732">
            <v>120.33</v>
          </cell>
          <cell r="AV3732">
            <v>1</v>
          </cell>
          <cell r="AW3732">
            <v>1</v>
          </cell>
          <cell r="BC3732">
            <v>1</v>
          </cell>
          <cell r="BZ3732">
            <v>0</v>
          </cell>
          <cell r="CA3732">
            <v>0</v>
          </cell>
          <cell r="CS3732">
            <v>0</v>
          </cell>
        </row>
        <row r="3734">
          <cell r="G3734" t="str">
            <v>Зенитные фонари</v>
          </cell>
        </row>
        <row r="3764">
          <cell r="G3764" t="str">
            <v>Велопарковки</v>
          </cell>
        </row>
        <row r="3768">
          <cell r="F3768" t="str">
            <v>калькуляция</v>
          </cell>
          <cell r="G3768" t="str">
            <v>Промывка конструктивных элементов велопарковок из нержавеющей стали водой</v>
          </cell>
          <cell r="H3768" t="str">
            <v>шт.</v>
          </cell>
          <cell r="I3768">
            <v>2</v>
          </cell>
          <cell r="S3768">
            <v>85.44</v>
          </cell>
          <cell r="X3768">
            <v>0</v>
          </cell>
          <cell r="Y3768">
            <v>0</v>
          </cell>
          <cell r="AE3768">
            <v>0</v>
          </cell>
          <cell r="AF3768">
            <v>42.72</v>
          </cell>
          <cell r="AO3768">
            <v>3.56</v>
          </cell>
          <cell r="AV3768">
            <v>1</v>
          </cell>
          <cell r="BA3768">
            <v>1</v>
          </cell>
          <cell r="BZ3768">
            <v>0</v>
          </cell>
          <cell r="CA3768">
            <v>0</v>
          </cell>
          <cell r="CS3768">
            <v>0</v>
          </cell>
          <cell r="DG3768" t="str">
            <v>)*1*12</v>
          </cell>
        </row>
        <row r="3769">
          <cell r="F3769" t="str">
            <v>калькуляция</v>
          </cell>
          <cell r="G3769" t="str">
            <v>Промывка конструктивных элементов велопорковок из нержавеющей стали с применением химических средств</v>
          </cell>
          <cell r="H3769" t="str">
            <v>шт.</v>
          </cell>
          <cell r="I3769">
            <v>2</v>
          </cell>
          <cell r="S3769">
            <v>14.24</v>
          </cell>
          <cell r="X3769">
            <v>0</v>
          </cell>
          <cell r="Y3769">
            <v>0</v>
          </cell>
          <cell r="AE3769">
            <v>0</v>
          </cell>
          <cell r="AF3769">
            <v>7.12</v>
          </cell>
          <cell r="AO3769">
            <v>3.56</v>
          </cell>
          <cell r="AV3769">
            <v>1</v>
          </cell>
          <cell r="BA3769">
            <v>1</v>
          </cell>
          <cell r="BZ3769">
            <v>0</v>
          </cell>
          <cell r="CA3769">
            <v>0</v>
          </cell>
          <cell r="CS3769">
            <v>0</v>
          </cell>
          <cell r="DG3769" t="str">
            <v>)*1*2</v>
          </cell>
        </row>
        <row r="3770">
          <cell r="F3770" t="str">
            <v>цена поставщика</v>
          </cell>
          <cell r="G3770" t="str">
            <v>Средство кислотное высококонцентрированное бактерицидное пенное для очистки и дезинфекции, типа "Мегасан"</v>
          </cell>
          <cell r="H3770" t="str">
            <v>л</v>
          </cell>
          <cell r="I3770">
            <v>0.08</v>
          </cell>
          <cell r="O3770">
            <v>34.869999999999997</v>
          </cell>
          <cell r="X3770">
            <v>0</v>
          </cell>
          <cell r="Y3770">
            <v>0</v>
          </cell>
          <cell r="AE3770">
            <v>0</v>
          </cell>
          <cell r="AF3770">
            <v>0</v>
          </cell>
          <cell r="AK3770">
            <v>435.83</v>
          </cell>
          <cell r="AV3770">
            <v>1</v>
          </cell>
          <cell r="AW3770">
            <v>1</v>
          </cell>
          <cell r="BC3770">
            <v>1</v>
          </cell>
          <cell r="BZ3770">
            <v>0</v>
          </cell>
          <cell r="CA3770">
            <v>0</v>
          </cell>
          <cell r="CS3770">
            <v>0</v>
          </cell>
        </row>
        <row r="3772">
          <cell r="G3772" t="str">
            <v>Велопарковки</v>
          </cell>
        </row>
        <row r="3802">
          <cell r="G3802" t="str">
            <v>Гранитные урны ( 5шт.)</v>
          </cell>
        </row>
        <row r="3806">
          <cell r="F3806" t="str">
            <v>калькуляция</v>
          </cell>
          <cell r="G3806" t="str">
            <v>Протирка гранитных урн</v>
          </cell>
          <cell r="H3806" t="str">
            <v>м2</v>
          </cell>
          <cell r="I3806">
            <v>5</v>
          </cell>
          <cell r="S3806">
            <v>3569.9</v>
          </cell>
          <cell r="X3806">
            <v>0</v>
          </cell>
          <cell r="Y3806">
            <v>0</v>
          </cell>
          <cell r="AE3806">
            <v>0</v>
          </cell>
          <cell r="AF3806">
            <v>713.98</v>
          </cell>
          <cell r="AO3806">
            <v>12.31</v>
          </cell>
          <cell r="AV3806">
            <v>1</v>
          </cell>
          <cell r="BA3806">
            <v>1</v>
          </cell>
          <cell r="BZ3806">
            <v>0</v>
          </cell>
          <cell r="CA3806">
            <v>0</v>
          </cell>
          <cell r="CS3806">
            <v>0</v>
          </cell>
          <cell r="DG3806" t="str">
            <v>)*1*58</v>
          </cell>
        </row>
        <row r="3807">
          <cell r="F3807" t="str">
            <v>цена поставщика</v>
          </cell>
          <cell r="G3807" t="str">
            <v>Средство жидкое концентрированное бактерицидное для дезинфекции и предстерилизационной очистки, типа "Аламинол"</v>
          </cell>
          <cell r="H3807" t="str">
            <v>л</v>
          </cell>
          <cell r="I3807">
            <v>0.26100000000000001</v>
          </cell>
          <cell r="O3807">
            <v>163.13</v>
          </cell>
          <cell r="X3807">
            <v>0</v>
          </cell>
          <cell r="Y3807">
            <v>0</v>
          </cell>
          <cell r="AE3807">
            <v>0</v>
          </cell>
          <cell r="AF3807">
            <v>0</v>
          </cell>
          <cell r="AK3807">
            <v>625</v>
          </cell>
          <cell r="AV3807">
            <v>1</v>
          </cell>
          <cell r="AW3807">
            <v>1</v>
          </cell>
          <cell r="BC3807">
            <v>1</v>
          </cell>
          <cell r="BZ3807">
            <v>0</v>
          </cell>
          <cell r="CA3807">
            <v>0</v>
          </cell>
          <cell r="CS3807">
            <v>0</v>
          </cell>
        </row>
        <row r="3809">
          <cell r="G3809" t="str">
            <v>Гранитные урны ( 5шт.)</v>
          </cell>
        </row>
        <row r="3839">
          <cell r="G3839" t="str">
            <v>Нестационарные торговые объекты</v>
          </cell>
        </row>
        <row r="3843">
          <cell r="F3843" t="str">
            <v>калькуляция</v>
          </cell>
          <cell r="G3843" t="str">
            <v>Протирка электронных аппаратов</v>
          </cell>
          <cell r="H3843" t="str">
            <v>м2</v>
          </cell>
          <cell r="I3843">
            <v>114.1</v>
          </cell>
          <cell r="S3843">
            <v>16610.68</v>
          </cell>
          <cell r="X3843">
            <v>0</v>
          </cell>
          <cell r="Y3843">
            <v>0</v>
          </cell>
          <cell r="AE3843">
            <v>0</v>
          </cell>
          <cell r="AF3843">
            <v>145.58000000000001</v>
          </cell>
          <cell r="AO3843">
            <v>2.5099999999999998</v>
          </cell>
          <cell r="AV3843">
            <v>1</v>
          </cell>
          <cell r="BA3843">
            <v>1</v>
          </cell>
          <cell r="BZ3843">
            <v>0</v>
          </cell>
          <cell r="CA3843">
            <v>0</v>
          </cell>
          <cell r="CS3843">
            <v>0</v>
          </cell>
          <cell r="DG3843" t="str">
            <v>)*1*58</v>
          </cell>
        </row>
        <row r="3844">
          <cell r="F3844" t="str">
            <v>цена поставщика</v>
          </cell>
          <cell r="G3844" t="str">
            <v>Мегалан концентрированное жидкое щелочное средство для ухода за твёрдыми поверхностями,</v>
          </cell>
          <cell r="H3844" t="str">
            <v>л</v>
          </cell>
          <cell r="I3844">
            <v>3.3089</v>
          </cell>
          <cell r="O3844">
            <v>531.08000000000004</v>
          </cell>
          <cell r="X3844">
            <v>0</v>
          </cell>
          <cell r="Y3844">
            <v>0</v>
          </cell>
          <cell r="AE3844">
            <v>0</v>
          </cell>
          <cell r="AF3844">
            <v>0</v>
          </cell>
          <cell r="AK3844">
            <v>160.5</v>
          </cell>
          <cell r="AV3844">
            <v>1</v>
          </cell>
          <cell r="AW3844">
            <v>1</v>
          </cell>
          <cell r="BC3844">
            <v>1</v>
          </cell>
          <cell r="BZ3844">
            <v>0</v>
          </cell>
          <cell r="CA3844">
            <v>0</v>
          </cell>
          <cell r="CS3844">
            <v>0</v>
          </cell>
        </row>
        <row r="3846">
          <cell r="G3846" t="str">
            <v>Нестационарные торговые объекты</v>
          </cell>
        </row>
        <row r="3876">
          <cell r="G3876" t="str">
            <v>"Патриаршее подворье" (S=4987,1 м2 )</v>
          </cell>
        </row>
        <row r="3880">
          <cell r="G3880" t="str">
            <v>Содержание покрытий " Патриаршего подворья".</v>
          </cell>
        </row>
        <row r="3884">
          <cell r="F3884" t="str">
            <v>5.3-1101-15-1/1</v>
          </cell>
          <cell r="G3884" t="str">
            <v>Подметание тротуаров, придомовых и внутрибольничных проездов средствами малой механизации ( 4987,1 м2*0,7=3490,97 м2 )</v>
          </cell>
          <cell r="H3884" t="str">
            <v>1000 м2</v>
          </cell>
          <cell r="I3884">
            <v>3.4909699999999999</v>
          </cell>
          <cell r="P3884">
            <v>35388.17</v>
          </cell>
          <cell r="Q3884">
            <v>1211951.1200000001</v>
          </cell>
          <cell r="R3884">
            <v>495226</v>
          </cell>
          <cell r="X3884">
            <v>0</v>
          </cell>
          <cell r="Y3884">
            <v>0</v>
          </cell>
          <cell r="AE3884">
            <v>141859.14000000001</v>
          </cell>
          <cell r="AF3884">
            <v>0</v>
          </cell>
          <cell r="AL3884">
            <v>8.49</v>
          </cell>
          <cell r="AM3884">
            <v>290.76</v>
          </cell>
          <cell r="AN3884">
            <v>118.81</v>
          </cell>
          <cell r="AV3884">
            <v>1</v>
          </cell>
          <cell r="AW3884">
            <v>1</v>
          </cell>
          <cell r="BB3884">
            <v>1</v>
          </cell>
          <cell r="BC3884">
            <v>1</v>
          </cell>
          <cell r="BS3884">
            <v>1</v>
          </cell>
          <cell r="BZ3884">
            <v>70</v>
          </cell>
          <cell r="CA3884">
            <v>10</v>
          </cell>
          <cell r="CS3884">
            <v>141859.14000000001</v>
          </cell>
          <cell r="DD3884" t="str">
            <v>)*3*398</v>
          </cell>
          <cell r="DE3884" t="str">
            <v>)*3*398</v>
          </cell>
          <cell r="DF3884" t="str">
            <v>)*3*398</v>
          </cell>
        </row>
        <row r="3885">
          <cell r="F3885" t="str">
            <v>21.1-25-13</v>
          </cell>
          <cell r="G3885" t="str">
            <v>Вода</v>
          </cell>
          <cell r="H3885" t="str">
            <v>м3</v>
          </cell>
          <cell r="I3885">
            <v>-833.64363600000001</v>
          </cell>
          <cell r="O3885">
            <v>-35379.839999999997</v>
          </cell>
          <cell r="X3885">
            <v>0</v>
          </cell>
          <cell r="Y3885">
            <v>0</v>
          </cell>
          <cell r="AE3885">
            <v>0</v>
          </cell>
          <cell r="AF3885">
            <v>0</v>
          </cell>
          <cell r="AK3885">
            <v>42.44</v>
          </cell>
          <cell r="AV3885">
            <v>1</v>
          </cell>
          <cell r="AW3885">
            <v>1</v>
          </cell>
          <cell r="BC3885">
            <v>1</v>
          </cell>
          <cell r="BZ3885">
            <v>70</v>
          </cell>
          <cell r="CA3885">
            <v>10</v>
          </cell>
          <cell r="CS3885">
            <v>0</v>
          </cell>
        </row>
        <row r="3886">
          <cell r="F3886" t="str">
            <v>5.3-1101-13-1/1</v>
          </cell>
          <cell r="G3886" t="str">
            <v>Подметание вручную дорожек и площадок с твердым покрытием ( 4987,1 м2* 0,3= 1496,13м2)</v>
          </cell>
          <cell r="H3886" t="str">
            <v>100 м2</v>
          </cell>
          <cell r="I3886">
            <v>14.9613</v>
          </cell>
          <cell r="S3886">
            <v>620052.23</v>
          </cell>
          <cell r="U3886">
            <v>2500.9309080000003</v>
          </cell>
          <cell r="X3886">
            <v>434036.56</v>
          </cell>
          <cell r="Y3886">
            <v>62005.22</v>
          </cell>
          <cell r="AE3886">
            <v>0</v>
          </cell>
          <cell r="AF3886">
            <v>41443.74</v>
          </cell>
          <cell r="AO3886">
            <v>34.71</v>
          </cell>
          <cell r="AQ3886">
            <v>0.14000000000000001</v>
          </cell>
          <cell r="AT3886">
            <v>70</v>
          </cell>
          <cell r="AU3886">
            <v>10</v>
          </cell>
          <cell r="AV3886">
            <v>1</v>
          </cell>
          <cell r="BA3886">
            <v>1</v>
          </cell>
          <cell r="BZ3886">
            <v>70</v>
          </cell>
          <cell r="CA3886">
            <v>10</v>
          </cell>
          <cell r="CS3886">
            <v>0</v>
          </cell>
          <cell r="DG3886" t="str">
            <v>)*3*398</v>
          </cell>
          <cell r="DI3886" t="str">
            <v>)*3*398</v>
          </cell>
        </row>
        <row r="3887">
          <cell r="F3887" t="str">
            <v>5.3-1101-13-1/1</v>
          </cell>
          <cell r="G3887" t="str">
            <v>Подметание вручную дорожек и площадок с твердым покрытием (  дополнительное подметание покрытий в осенний период)</v>
          </cell>
          <cell r="H3887" t="str">
            <v>100 м2</v>
          </cell>
          <cell r="I3887">
            <v>49.871000000000002</v>
          </cell>
          <cell r="S3887">
            <v>103861.34</v>
          </cell>
          <cell r="U3887">
            <v>418.91640000000001</v>
          </cell>
          <cell r="X3887">
            <v>72702.94</v>
          </cell>
          <cell r="Y3887">
            <v>10386.129999999999</v>
          </cell>
          <cell r="AE3887">
            <v>0</v>
          </cell>
          <cell r="AF3887">
            <v>2082.6</v>
          </cell>
          <cell r="AO3887">
            <v>34.71</v>
          </cell>
          <cell r="AQ3887">
            <v>0.14000000000000001</v>
          </cell>
          <cell r="AT3887">
            <v>70</v>
          </cell>
          <cell r="AU3887">
            <v>10</v>
          </cell>
          <cell r="AV3887">
            <v>1</v>
          </cell>
          <cell r="BA3887">
            <v>1</v>
          </cell>
          <cell r="BZ3887">
            <v>70</v>
          </cell>
          <cell r="CA3887">
            <v>10</v>
          </cell>
          <cell r="CS3887">
            <v>0</v>
          </cell>
          <cell r="DG3887" t="str">
            <v>)*1*60</v>
          </cell>
          <cell r="DI3887" t="str">
            <v>)*1*60</v>
          </cell>
        </row>
        <row r="3888">
          <cell r="F3888" t="str">
            <v>5.3-1101-15-5/1</v>
          </cell>
          <cell r="G3888" t="str">
            <v>Мытье тротуаров, придомовых и внутрибольничных проездов средствами малой механизации</v>
          </cell>
          <cell r="H3888" t="str">
            <v>1000 м2</v>
          </cell>
          <cell r="I3888">
            <v>4.9870999999999999</v>
          </cell>
          <cell r="P3888">
            <v>1935.49</v>
          </cell>
          <cell r="Q3888">
            <v>7361.76</v>
          </cell>
          <cell r="R3888">
            <v>3008.12</v>
          </cell>
          <cell r="X3888">
            <v>0</v>
          </cell>
          <cell r="Y3888">
            <v>0</v>
          </cell>
          <cell r="AE3888">
            <v>603.17999999999995</v>
          </cell>
          <cell r="AF3888">
            <v>0</v>
          </cell>
          <cell r="AL3888">
            <v>194.05</v>
          </cell>
          <cell r="AM3888">
            <v>738.08</v>
          </cell>
          <cell r="AN3888">
            <v>301.58999999999997</v>
          </cell>
          <cell r="AV3888">
            <v>1</v>
          </cell>
          <cell r="AW3888">
            <v>1</v>
          </cell>
          <cell r="BB3888">
            <v>1</v>
          </cell>
          <cell r="BC3888">
            <v>1</v>
          </cell>
          <cell r="BS3888">
            <v>1</v>
          </cell>
          <cell r="BZ3888">
            <v>70</v>
          </cell>
          <cell r="CA3888">
            <v>10</v>
          </cell>
          <cell r="CS3888">
            <v>603.17999999999995</v>
          </cell>
          <cell r="DD3888" t="str">
            <v>)*1*2</v>
          </cell>
          <cell r="DE3888" t="str">
            <v>)*1*2</v>
          </cell>
          <cell r="DF3888" t="str">
            <v>)*1*2</v>
          </cell>
        </row>
        <row r="3889">
          <cell r="F3889" t="str">
            <v>21.1-25-13</v>
          </cell>
          <cell r="G3889" t="str">
            <v>Вода</v>
          </cell>
          <cell r="H3889" t="str">
            <v>м3</v>
          </cell>
          <cell r="I3889">
            <v>-11.171104000000001</v>
          </cell>
          <cell r="O3889">
            <v>-474.1</v>
          </cell>
          <cell r="X3889">
            <v>0</v>
          </cell>
          <cell r="Y3889">
            <v>0</v>
          </cell>
          <cell r="AE3889">
            <v>0</v>
          </cell>
          <cell r="AF3889">
            <v>0</v>
          </cell>
          <cell r="AK3889">
            <v>42.44</v>
          </cell>
          <cell r="AV3889">
            <v>1</v>
          </cell>
          <cell r="AW3889">
            <v>1</v>
          </cell>
          <cell r="BC3889">
            <v>1</v>
          </cell>
          <cell r="BZ3889">
            <v>70</v>
          </cell>
          <cell r="CA3889">
            <v>10</v>
          </cell>
          <cell r="CS3889">
            <v>0</v>
          </cell>
        </row>
        <row r="3890">
          <cell r="F3890" t="str">
            <v>5.3-1101-15-4/1</v>
          </cell>
          <cell r="G3890" t="str">
            <v>Полив тротуаров, придомовых и внутрибольничных проездов средствами малой механизации</v>
          </cell>
          <cell r="H3890" t="str">
            <v>1000 м2</v>
          </cell>
          <cell r="I3890">
            <v>4.9870999999999999</v>
          </cell>
          <cell r="P3890">
            <v>13330.52</v>
          </cell>
          <cell r="Q3890">
            <v>421630.38</v>
          </cell>
          <cell r="R3890">
            <v>172282.36</v>
          </cell>
          <cell r="X3890">
            <v>0</v>
          </cell>
          <cell r="Y3890">
            <v>0</v>
          </cell>
          <cell r="AE3890">
            <v>34545.599999999999</v>
          </cell>
          <cell r="AF3890">
            <v>0</v>
          </cell>
          <cell r="AL3890">
            <v>14.85</v>
          </cell>
          <cell r="AM3890">
            <v>469.69</v>
          </cell>
          <cell r="AN3890">
            <v>191.92</v>
          </cell>
          <cell r="AV3890">
            <v>1</v>
          </cell>
          <cell r="AW3890">
            <v>1</v>
          </cell>
          <cell r="BB3890">
            <v>1</v>
          </cell>
          <cell r="BC3890">
            <v>1</v>
          </cell>
          <cell r="BS3890">
            <v>1</v>
          </cell>
          <cell r="BZ3890">
            <v>70</v>
          </cell>
          <cell r="CA3890">
            <v>10</v>
          </cell>
          <cell r="CS3890">
            <v>34545.599999999999</v>
          </cell>
          <cell r="DD3890" t="str">
            <v>)*2*90</v>
          </cell>
          <cell r="DE3890" t="str">
            <v>)*2*90</v>
          </cell>
          <cell r="DF3890" t="str">
            <v>)*2*90</v>
          </cell>
        </row>
        <row r="3891">
          <cell r="F3891" t="str">
            <v>21.1-25-13</v>
          </cell>
          <cell r="G3891" t="str">
            <v>Вода</v>
          </cell>
          <cell r="H3891" t="str">
            <v>м3</v>
          </cell>
          <cell r="I3891">
            <v>-314.18729999999999</v>
          </cell>
          <cell r="O3891">
            <v>-13334.11</v>
          </cell>
          <cell r="X3891">
            <v>0</v>
          </cell>
          <cell r="Y3891">
            <v>0</v>
          </cell>
          <cell r="AE3891">
            <v>0</v>
          </cell>
          <cell r="AF3891">
            <v>0</v>
          </cell>
          <cell r="AK3891">
            <v>42.44</v>
          </cell>
          <cell r="AV3891">
            <v>1</v>
          </cell>
          <cell r="AW3891">
            <v>1</v>
          </cell>
          <cell r="BC3891">
            <v>1</v>
          </cell>
          <cell r="BZ3891">
            <v>70</v>
          </cell>
          <cell r="CA3891">
            <v>10</v>
          </cell>
          <cell r="CS3891">
            <v>0</v>
          </cell>
        </row>
        <row r="3893">
          <cell r="G3893" t="str">
            <v>Содержание покрытий " Патриаршего подворья".</v>
          </cell>
        </row>
        <row r="3923">
          <cell r="G3923" t="str">
            <v>Уход за скамьями.</v>
          </cell>
        </row>
        <row r="3927">
          <cell r="F3927" t="str">
            <v>5.3-1101-10-1/1</v>
          </cell>
          <cell r="G3927" t="str">
            <v>Протирка садовых диванов и скамеек( 48 м2)</v>
          </cell>
          <cell r="H3927" t="str">
            <v>100 м2</v>
          </cell>
          <cell r="I3927">
            <v>0.48</v>
          </cell>
          <cell r="P3927">
            <v>171.71</v>
          </cell>
          <cell r="S3927">
            <v>82471.28</v>
          </cell>
          <cell r="U3927">
            <v>332.64</v>
          </cell>
          <cell r="X3927">
            <v>57729.9</v>
          </cell>
          <cell r="Y3927">
            <v>8247.1299999999992</v>
          </cell>
          <cell r="AE3927">
            <v>0</v>
          </cell>
          <cell r="AF3927">
            <v>171815.16</v>
          </cell>
          <cell r="AL3927">
            <v>2.71</v>
          </cell>
          <cell r="AO3927">
            <v>1301.6300000000001</v>
          </cell>
          <cell r="AQ3927">
            <v>5.25</v>
          </cell>
          <cell r="AT3927">
            <v>70</v>
          </cell>
          <cell r="AU3927">
            <v>10</v>
          </cell>
          <cell r="AV3927">
            <v>1</v>
          </cell>
          <cell r="AW3927">
            <v>1</v>
          </cell>
          <cell r="BA3927">
            <v>1</v>
          </cell>
          <cell r="BC3927">
            <v>1</v>
          </cell>
          <cell r="BZ3927">
            <v>70</v>
          </cell>
          <cell r="CA3927">
            <v>10</v>
          </cell>
          <cell r="CS3927">
            <v>0</v>
          </cell>
          <cell r="DD3927" t="str">
            <v>)*1*132</v>
          </cell>
          <cell r="DG3927" t="str">
            <v>)*1*132</v>
          </cell>
          <cell r="DI3927" t="str">
            <v>)*1*132</v>
          </cell>
        </row>
        <row r="3928">
          <cell r="F3928" t="str">
            <v>21.1-25-13</v>
          </cell>
          <cell r="G3928" t="str">
            <v>Вода</v>
          </cell>
          <cell r="H3928" t="str">
            <v>м3</v>
          </cell>
          <cell r="I3928">
            <v>-0.63360000000000005</v>
          </cell>
          <cell r="O3928">
            <v>-26.89</v>
          </cell>
          <cell r="X3928">
            <v>0</v>
          </cell>
          <cell r="Y3928">
            <v>0</v>
          </cell>
          <cell r="AE3928">
            <v>0</v>
          </cell>
          <cell r="AF3928">
            <v>0</v>
          </cell>
          <cell r="AK3928">
            <v>42.44</v>
          </cell>
          <cell r="AV3928">
            <v>1</v>
          </cell>
          <cell r="AW3928">
            <v>1</v>
          </cell>
          <cell r="BC3928">
            <v>1</v>
          </cell>
          <cell r="BZ3928">
            <v>70</v>
          </cell>
          <cell r="CA3928">
            <v>10</v>
          </cell>
          <cell r="CS3928">
            <v>0</v>
          </cell>
        </row>
        <row r="3929">
          <cell r="F3929" t="str">
            <v>5.3-1101-9-1/1</v>
          </cell>
          <cell r="G3929" t="str">
            <v>Мытье садовых диванов и скамеек</v>
          </cell>
          <cell r="H3929" t="str">
            <v>100 м2</v>
          </cell>
          <cell r="I3929">
            <v>0.48</v>
          </cell>
          <cell r="P3929">
            <v>31.22</v>
          </cell>
          <cell r="S3929">
            <v>8225.74</v>
          </cell>
          <cell r="U3929">
            <v>33.177599999999998</v>
          </cell>
          <cell r="X3929">
            <v>5758.02</v>
          </cell>
          <cell r="Y3929">
            <v>822.57</v>
          </cell>
          <cell r="AE3929">
            <v>0</v>
          </cell>
          <cell r="AF3929">
            <v>17136.96</v>
          </cell>
          <cell r="AL3929">
            <v>5.42</v>
          </cell>
          <cell r="AO3929">
            <v>1428.08</v>
          </cell>
          <cell r="AQ3929">
            <v>5.76</v>
          </cell>
          <cell r="AT3929">
            <v>70</v>
          </cell>
          <cell r="AU3929">
            <v>10</v>
          </cell>
          <cell r="AV3929">
            <v>1</v>
          </cell>
          <cell r="AW3929">
            <v>1</v>
          </cell>
          <cell r="BA3929">
            <v>1</v>
          </cell>
          <cell r="BC3929">
            <v>1</v>
          </cell>
          <cell r="BZ3929">
            <v>70</v>
          </cell>
          <cell r="CA3929">
            <v>10</v>
          </cell>
          <cell r="CS3929">
            <v>0</v>
          </cell>
          <cell r="DD3929" t="str">
            <v>)*1*12</v>
          </cell>
          <cell r="DG3929" t="str">
            <v>)*1*12</v>
          </cell>
          <cell r="DI3929" t="str">
            <v>)*1*12</v>
          </cell>
        </row>
        <row r="3930">
          <cell r="F3930" t="str">
            <v>21.1-25-13</v>
          </cell>
          <cell r="G3930" t="str">
            <v>Вода</v>
          </cell>
          <cell r="H3930" t="str">
            <v>м3</v>
          </cell>
          <cell r="I3930">
            <v>-0.1152</v>
          </cell>
          <cell r="O3930">
            <v>-4.8899999999999997</v>
          </cell>
          <cell r="X3930">
            <v>0</v>
          </cell>
          <cell r="Y3930">
            <v>0</v>
          </cell>
          <cell r="AE3930">
            <v>0</v>
          </cell>
          <cell r="AF3930">
            <v>0</v>
          </cell>
          <cell r="AK3930">
            <v>42.44</v>
          </cell>
          <cell r="AV3930">
            <v>1</v>
          </cell>
          <cell r="AW3930">
            <v>1</v>
          </cell>
          <cell r="BC3930">
            <v>1</v>
          </cell>
          <cell r="BZ3930">
            <v>70</v>
          </cell>
          <cell r="CA3930">
            <v>10</v>
          </cell>
          <cell r="CS3930">
            <v>0</v>
          </cell>
        </row>
        <row r="3932">
          <cell r="G3932" t="str">
            <v>Уход за скамьями.</v>
          </cell>
        </row>
        <row r="3962">
          <cell r="G3962" t="str">
            <v>Уход за лестницами</v>
          </cell>
        </row>
        <row r="3966">
          <cell r="F3966" t="str">
            <v>5.3-1101-13-1/1</v>
          </cell>
          <cell r="G3966" t="str">
            <v>Подметание вручную дорожек и площадок с твердым покрытием</v>
          </cell>
          <cell r="H3966" t="str">
            <v>100 м2</v>
          </cell>
          <cell r="I3966">
            <v>1.514</v>
          </cell>
          <cell r="S3966">
            <v>41830.550000000003</v>
          </cell>
          <cell r="U3966">
            <v>168.72016000000002</v>
          </cell>
          <cell r="X3966">
            <v>29281.39</v>
          </cell>
          <cell r="Y3966">
            <v>4183.0600000000004</v>
          </cell>
          <cell r="AE3966">
            <v>0</v>
          </cell>
          <cell r="AF3966">
            <v>27629.16</v>
          </cell>
          <cell r="AO3966">
            <v>34.71</v>
          </cell>
          <cell r="AQ3966">
            <v>0.14000000000000001</v>
          </cell>
          <cell r="AT3966">
            <v>70</v>
          </cell>
          <cell r="AU3966">
            <v>10</v>
          </cell>
          <cell r="AV3966">
            <v>1</v>
          </cell>
          <cell r="BA3966">
            <v>1</v>
          </cell>
          <cell r="BZ3966">
            <v>70</v>
          </cell>
          <cell r="CA3966">
            <v>10</v>
          </cell>
          <cell r="CS3966">
            <v>0</v>
          </cell>
          <cell r="DG3966" t="str">
            <v>)*2*398</v>
          </cell>
          <cell r="DI3966" t="str">
            <v>)*2*398</v>
          </cell>
        </row>
        <row r="3967">
          <cell r="F3967" t="str">
            <v>5.3-1101-14-1/1</v>
          </cell>
          <cell r="G3967" t="str">
            <v>Полив дорожек из шланга вручную( промывка пролета)</v>
          </cell>
          <cell r="H3967" t="str">
            <v>100 м2</v>
          </cell>
          <cell r="I3967">
            <v>1.514</v>
          </cell>
          <cell r="P3967">
            <v>372.32</v>
          </cell>
          <cell r="S3967">
            <v>2830.18</v>
          </cell>
          <cell r="U3967">
            <v>11.415559999999999</v>
          </cell>
          <cell r="X3967">
            <v>1981.13</v>
          </cell>
          <cell r="Y3967">
            <v>283.02</v>
          </cell>
          <cell r="AE3967">
            <v>0</v>
          </cell>
          <cell r="AF3967">
            <v>1869.34</v>
          </cell>
          <cell r="AL3967">
            <v>4.24</v>
          </cell>
          <cell r="AO3967">
            <v>32.229999999999997</v>
          </cell>
          <cell r="AQ3967">
            <v>0.13</v>
          </cell>
          <cell r="AT3967">
            <v>70</v>
          </cell>
          <cell r="AU3967">
            <v>10</v>
          </cell>
          <cell r="AV3967">
            <v>1</v>
          </cell>
          <cell r="AW3967">
            <v>1</v>
          </cell>
          <cell r="BA3967">
            <v>1</v>
          </cell>
          <cell r="BC3967">
            <v>1</v>
          </cell>
          <cell r="BZ3967">
            <v>70</v>
          </cell>
          <cell r="CA3967">
            <v>10</v>
          </cell>
          <cell r="CS3967">
            <v>0</v>
          </cell>
          <cell r="DD3967" t="str">
            <v>)*1*58</v>
          </cell>
          <cell r="DG3967" t="str">
            <v>)*1*58</v>
          </cell>
          <cell r="DI3967" t="str">
            <v>)*1*58</v>
          </cell>
        </row>
        <row r="3968">
          <cell r="F3968" t="str">
            <v>21.1-25-13</v>
          </cell>
          <cell r="G3968" t="str">
            <v>Вода</v>
          </cell>
          <cell r="H3968" t="str">
            <v>м3</v>
          </cell>
          <cell r="I3968">
            <v>-8.7812000000000001</v>
          </cell>
          <cell r="O3968">
            <v>-372.67</v>
          </cell>
          <cell r="X3968">
            <v>0</v>
          </cell>
          <cell r="Y3968">
            <v>0</v>
          </cell>
          <cell r="AE3968">
            <v>0</v>
          </cell>
          <cell r="AF3968">
            <v>0</v>
          </cell>
          <cell r="AK3968">
            <v>42.44</v>
          </cell>
          <cell r="AV3968">
            <v>1</v>
          </cell>
          <cell r="AW3968">
            <v>1</v>
          </cell>
          <cell r="BC3968">
            <v>1</v>
          </cell>
          <cell r="BZ3968">
            <v>70</v>
          </cell>
          <cell r="CA3968">
            <v>10</v>
          </cell>
          <cell r="CS3968">
            <v>0</v>
          </cell>
        </row>
        <row r="3970">
          <cell r="G3970" t="str">
            <v>Уход за лестницами</v>
          </cell>
        </row>
        <row r="4000">
          <cell r="G4000" t="str">
            <v>Водоотводные лотки</v>
          </cell>
        </row>
        <row r="4004">
          <cell r="F4004" t="str">
            <v>5.3-1101-20-1/1</v>
          </cell>
          <cell r="G4004" t="str">
            <v>Прочистка водоотводных лотков в отмостке</v>
          </cell>
          <cell r="H4004" t="str">
            <v>10 м</v>
          </cell>
          <cell r="I4004">
            <v>63.34</v>
          </cell>
          <cell r="S4004">
            <v>279924.8</v>
          </cell>
          <cell r="U4004">
            <v>1570.8320000000001</v>
          </cell>
          <cell r="X4004">
            <v>195947.36</v>
          </cell>
          <cell r="Y4004">
            <v>27992.48</v>
          </cell>
          <cell r="AE4004">
            <v>0</v>
          </cell>
          <cell r="AF4004">
            <v>4419.3999999999996</v>
          </cell>
          <cell r="AO4004">
            <v>220.97</v>
          </cell>
          <cell r="AQ4004">
            <v>1.24</v>
          </cell>
          <cell r="AT4004">
            <v>70</v>
          </cell>
          <cell r="AU4004">
            <v>10</v>
          </cell>
          <cell r="AV4004">
            <v>1</v>
          </cell>
          <cell r="BA4004">
            <v>1</v>
          </cell>
          <cell r="BZ4004">
            <v>70</v>
          </cell>
          <cell r="CA4004">
            <v>10</v>
          </cell>
          <cell r="CS4004">
            <v>0</v>
          </cell>
          <cell r="DG4004" t="str">
            <v>)*1*20</v>
          </cell>
          <cell r="DI4004" t="str">
            <v>)*1*20</v>
          </cell>
        </row>
        <row r="4006">
          <cell r="G4006" t="str">
            <v>Водоотводные лотки</v>
          </cell>
        </row>
        <row r="4036">
          <cell r="G4036" t="str">
            <v>Подпорные стенки</v>
          </cell>
        </row>
        <row r="4040">
          <cell r="F4040" t="str">
            <v>5.3-1101-5-1/1</v>
          </cell>
          <cell r="G4040" t="str">
            <v>Промывка оград железобетонных от пыли и грязи водой под напором( промывка гранитных стен)( прим.)</v>
          </cell>
          <cell r="H4040" t="str">
            <v>100 м2</v>
          </cell>
          <cell r="I4040">
            <v>9.4209999999999994</v>
          </cell>
          <cell r="P4040">
            <v>959.43</v>
          </cell>
          <cell r="Q4040">
            <v>62399.43</v>
          </cell>
          <cell r="R4040">
            <v>23013.24</v>
          </cell>
          <cell r="S4040">
            <v>9623.36</v>
          </cell>
          <cell r="U4040">
            <v>38.814520000000002</v>
          </cell>
          <cell r="X4040">
            <v>6736.35</v>
          </cell>
          <cell r="Y4040">
            <v>962.34</v>
          </cell>
          <cell r="AE4040">
            <v>2442.7600000000002</v>
          </cell>
          <cell r="AF4040">
            <v>1021.48</v>
          </cell>
          <cell r="AL4040">
            <v>25.46</v>
          </cell>
          <cell r="AM4040">
            <v>1655.86</v>
          </cell>
          <cell r="AN4040">
            <v>610.69000000000005</v>
          </cell>
          <cell r="AO4040">
            <v>255.37</v>
          </cell>
          <cell r="AQ4040">
            <v>1.03</v>
          </cell>
          <cell r="AT4040">
            <v>70</v>
          </cell>
          <cell r="AU4040">
            <v>10</v>
          </cell>
          <cell r="AV4040">
            <v>1</v>
          </cell>
          <cell r="AW4040">
            <v>1</v>
          </cell>
          <cell r="BA4040">
            <v>1</v>
          </cell>
          <cell r="BB4040">
            <v>1</v>
          </cell>
          <cell r="BC4040">
            <v>1</v>
          </cell>
          <cell r="BS4040">
            <v>1</v>
          </cell>
          <cell r="BZ4040">
            <v>70</v>
          </cell>
          <cell r="CA4040">
            <v>10</v>
          </cell>
          <cell r="CS4040">
            <v>2442.7600000000002</v>
          </cell>
          <cell r="DD4040" t="str">
            <v>)*1*4</v>
          </cell>
          <cell r="DE4040" t="str">
            <v>)*1*4</v>
          </cell>
          <cell r="DF4040" t="str">
            <v>)*1*4</v>
          </cell>
          <cell r="DG4040" t="str">
            <v>)*1*4</v>
          </cell>
          <cell r="DI4040" t="str">
            <v>)*1*4</v>
          </cell>
        </row>
        <row r="4041">
          <cell r="F4041" t="str">
            <v>21.1-25-13</v>
          </cell>
          <cell r="G4041" t="str">
            <v>Вода</v>
          </cell>
          <cell r="H4041" t="str">
            <v>м3</v>
          </cell>
          <cell r="I4041">
            <v>-22.610399999999998</v>
          </cell>
          <cell r="O4041">
            <v>-959.59</v>
          </cell>
          <cell r="X4041">
            <v>0</v>
          </cell>
          <cell r="Y4041">
            <v>0</v>
          </cell>
          <cell r="AE4041">
            <v>0</v>
          </cell>
          <cell r="AF4041">
            <v>0</v>
          </cell>
          <cell r="AK4041">
            <v>42.44</v>
          </cell>
          <cell r="AV4041">
            <v>1</v>
          </cell>
          <cell r="AW4041">
            <v>1</v>
          </cell>
          <cell r="BC4041">
            <v>1</v>
          </cell>
          <cell r="BZ4041">
            <v>70</v>
          </cell>
          <cell r="CA4041">
            <v>10</v>
          </cell>
          <cell r="CS4041">
            <v>0</v>
          </cell>
        </row>
        <row r="4042">
          <cell r="F4042" t="str">
            <v>5.3-1101-7-1/1</v>
          </cell>
          <cell r="G4042" t="str">
            <v>Протирка оград железобетонных от пыли и грязи( протирка подпорных стен)(прим.)</v>
          </cell>
          <cell r="H4042" t="str">
            <v>100 м2</v>
          </cell>
          <cell r="I4042">
            <v>9.4209999999999994</v>
          </cell>
          <cell r="P4042">
            <v>510.62</v>
          </cell>
          <cell r="S4042">
            <v>169341.53</v>
          </cell>
          <cell r="U4042">
            <v>683.02249999999992</v>
          </cell>
          <cell r="X4042">
            <v>118539.07</v>
          </cell>
          <cell r="Y4042">
            <v>16934.150000000001</v>
          </cell>
          <cell r="AE4042">
            <v>0</v>
          </cell>
          <cell r="AF4042">
            <v>17974.900000000001</v>
          </cell>
          <cell r="AL4042">
            <v>5.42</v>
          </cell>
          <cell r="AO4042">
            <v>1797.49</v>
          </cell>
          <cell r="AQ4042">
            <v>7.25</v>
          </cell>
          <cell r="AT4042">
            <v>70</v>
          </cell>
          <cell r="AU4042">
            <v>10</v>
          </cell>
          <cell r="AV4042">
            <v>1</v>
          </cell>
          <cell r="AW4042">
            <v>1</v>
          </cell>
          <cell r="BA4042">
            <v>1</v>
          </cell>
          <cell r="BC4042">
            <v>1</v>
          </cell>
          <cell r="BZ4042">
            <v>70</v>
          </cell>
          <cell r="CA4042">
            <v>10</v>
          </cell>
          <cell r="CS4042">
            <v>0</v>
          </cell>
          <cell r="DD4042" t="str">
            <v>)*1*10</v>
          </cell>
          <cell r="DG4042" t="str">
            <v>)*1*10</v>
          </cell>
          <cell r="DI4042" t="str">
            <v>)*1*10</v>
          </cell>
        </row>
        <row r="4043">
          <cell r="F4043" t="str">
            <v>21.1-25-13</v>
          </cell>
          <cell r="G4043" t="str">
            <v>Вода</v>
          </cell>
          <cell r="H4043" t="str">
            <v>м3</v>
          </cell>
          <cell r="I4043">
            <v>-1.8841999999999999</v>
          </cell>
          <cell r="O4043">
            <v>-79.97</v>
          </cell>
          <cell r="X4043">
            <v>0</v>
          </cell>
          <cell r="Y4043">
            <v>0</v>
          </cell>
          <cell r="AE4043">
            <v>0</v>
          </cell>
          <cell r="AF4043">
            <v>0</v>
          </cell>
          <cell r="AK4043">
            <v>42.44</v>
          </cell>
          <cell r="AV4043">
            <v>1</v>
          </cell>
          <cell r="AW4043">
            <v>1</v>
          </cell>
          <cell r="BC4043">
            <v>1</v>
          </cell>
          <cell r="BZ4043">
            <v>70</v>
          </cell>
          <cell r="CA4043">
            <v>10</v>
          </cell>
          <cell r="CS4043">
            <v>0</v>
          </cell>
        </row>
        <row r="4045">
          <cell r="G4045" t="str">
            <v>Подпорные стенки</v>
          </cell>
        </row>
        <row r="4075">
          <cell r="G4075" t="str">
            <v>Уход за бортовыми камнями</v>
          </cell>
        </row>
        <row r="4079">
          <cell r="F4079" t="str">
            <v>5.3-1101-13-1/1</v>
          </cell>
          <cell r="G4079" t="str">
            <v>Подметание вручную дорожек и площадок с твердым покрытием ( очистка бортовых камней )</v>
          </cell>
          <cell r="H4079" t="str">
            <v>100 м2</v>
          </cell>
          <cell r="I4079">
            <v>1.1172</v>
          </cell>
          <cell r="S4079">
            <v>30867.3</v>
          </cell>
          <cell r="U4079">
            <v>124.50076800000001</v>
          </cell>
          <cell r="X4079">
            <v>21607.11</v>
          </cell>
          <cell r="Y4079">
            <v>3086.73</v>
          </cell>
          <cell r="AE4079">
            <v>0</v>
          </cell>
          <cell r="AF4079">
            <v>27629.16</v>
          </cell>
          <cell r="AO4079">
            <v>34.71</v>
          </cell>
          <cell r="AQ4079">
            <v>0.14000000000000001</v>
          </cell>
          <cell r="AT4079">
            <v>70</v>
          </cell>
          <cell r="AU4079">
            <v>10</v>
          </cell>
          <cell r="AV4079">
            <v>1</v>
          </cell>
          <cell r="BA4079">
            <v>1</v>
          </cell>
          <cell r="BZ4079">
            <v>70</v>
          </cell>
          <cell r="CA4079">
            <v>10</v>
          </cell>
          <cell r="CS4079">
            <v>0</v>
          </cell>
          <cell r="DG4079" t="str">
            <v>)*2*398</v>
          </cell>
          <cell r="DI4079" t="str">
            <v>)*2*398</v>
          </cell>
        </row>
        <row r="4081">
          <cell r="G4081" t="str">
            <v>Уход за бортовыми камнями</v>
          </cell>
        </row>
        <row r="4111">
          <cell r="G4111" t="str">
            <v>"Патриаршее подворье" (S=4987,1 м2 )</v>
          </cell>
        </row>
        <row r="4141">
          <cell r="G4141" t="str">
            <v>Содержание покрытий тротуара " Храма зачатия праведной Анны".( S= 1262,2 м2 ).</v>
          </cell>
        </row>
        <row r="4145">
          <cell r="G4145" t="str">
            <v>Содержание покрытий( S=1262,2 м2)</v>
          </cell>
        </row>
        <row r="4149">
          <cell r="F4149" t="str">
            <v>5.3-1101-13-1/1</v>
          </cell>
          <cell r="G4149" t="str">
            <v>Подметание вручную дорожек и площадок с твердым покрытием</v>
          </cell>
          <cell r="H4149" t="str">
            <v>100 м2</v>
          </cell>
          <cell r="I4149">
            <v>12.622</v>
          </cell>
          <cell r="S4149">
            <v>523102.89</v>
          </cell>
          <cell r="U4149">
            <v>2109.8935200000001</v>
          </cell>
          <cell r="X4149">
            <v>366172.02</v>
          </cell>
          <cell r="Y4149">
            <v>52310.29</v>
          </cell>
          <cell r="AE4149">
            <v>0</v>
          </cell>
          <cell r="AF4149">
            <v>41443.74</v>
          </cell>
          <cell r="AO4149">
            <v>34.71</v>
          </cell>
          <cell r="AQ4149">
            <v>0.14000000000000001</v>
          </cell>
          <cell r="AT4149">
            <v>70</v>
          </cell>
          <cell r="AU4149">
            <v>10</v>
          </cell>
          <cell r="AV4149">
            <v>1</v>
          </cell>
          <cell r="BA4149">
            <v>1</v>
          </cell>
          <cell r="BZ4149">
            <v>70</v>
          </cell>
          <cell r="CA4149">
            <v>10</v>
          </cell>
          <cell r="CS4149">
            <v>0</v>
          </cell>
          <cell r="DG4149" t="str">
            <v>)*3*398</v>
          </cell>
          <cell r="DI4149" t="str">
            <v>)*3*398</v>
          </cell>
        </row>
        <row r="4150">
          <cell r="F4150" t="str">
            <v>5.3-1101-13-1/1</v>
          </cell>
          <cell r="G4150" t="str">
            <v>Подметание вручную дорожек и площадок с твердым покрытием (  дополнительное подметание покрытий в осенний период)</v>
          </cell>
          <cell r="H4150" t="str">
            <v>100 м2</v>
          </cell>
          <cell r="I4150">
            <v>12.622</v>
          </cell>
          <cell r="S4150">
            <v>26286.58</v>
          </cell>
          <cell r="U4150">
            <v>106.0248</v>
          </cell>
          <cell r="X4150">
            <v>18400.61</v>
          </cell>
          <cell r="Y4150">
            <v>2628.66</v>
          </cell>
          <cell r="AE4150">
            <v>0</v>
          </cell>
          <cell r="AF4150">
            <v>2082.6</v>
          </cell>
          <cell r="AO4150">
            <v>34.71</v>
          </cell>
          <cell r="AQ4150">
            <v>0.14000000000000001</v>
          </cell>
          <cell r="AT4150">
            <v>70</v>
          </cell>
          <cell r="AU4150">
            <v>10</v>
          </cell>
          <cell r="AV4150">
            <v>1</v>
          </cell>
          <cell r="BA4150">
            <v>1</v>
          </cell>
          <cell r="BZ4150">
            <v>70</v>
          </cell>
          <cell r="CA4150">
            <v>10</v>
          </cell>
          <cell r="CS4150">
            <v>0</v>
          </cell>
          <cell r="DG4150" t="str">
            <v>)*1*60</v>
          </cell>
          <cell r="DI4150" t="str">
            <v>)*1*60</v>
          </cell>
        </row>
        <row r="4151">
          <cell r="F4151" t="str">
            <v>5.3-1101-14-1/1</v>
          </cell>
          <cell r="G4151" t="str">
            <v>Полив дорожек из шланга вручную</v>
          </cell>
          <cell r="H4151" t="str">
            <v>100 м2</v>
          </cell>
          <cell r="I4151">
            <v>12.622</v>
          </cell>
          <cell r="P4151">
            <v>9633.11</v>
          </cell>
          <cell r="S4151">
            <v>73225.27</v>
          </cell>
          <cell r="U4151">
            <v>295.35480000000001</v>
          </cell>
          <cell r="X4151">
            <v>51257.69</v>
          </cell>
          <cell r="Y4151">
            <v>7322.53</v>
          </cell>
          <cell r="AE4151">
            <v>0</v>
          </cell>
          <cell r="AF4151">
            <v>5801.4</v>
          </cell>
          <cell r="AL4151">
            <v>4.24</v>
          </cell>
          <cell r="AO4151">
            <v>32.229999999999997</v>
          </cell>
          <cell r="AQ4151">
            <v>0.13</v>
          </cell>
          <cell r="AT4151">
            <v>70</v>
          </cell>
          <cell r="AU4151">
            <v>10</v>
          </cell>
          <cell r="AV4151">
            <v>1</v>
          </cell>
          <cell r="AW4151">
            <v>1</v>
          </cell>
          <cell r="BA4151">
            <v>1</v>
          </cell>
          <cell r="BC4151">
            <v>1</v>
          </cell>
          <cell r="BZ4151">
            <v>70</v>
          </cell>
          <cell r="CA4151">
            <v>10</v>
          </cell>
          <cell r="CS4151">
            <v>0</v>
          </cell>
          <cell r="DD4151" t="str">
            <v>)*2*90</v>
          </cell>
          <cell r="DG4151" t="str">
            <v>)*2*90</v>
          </cell>
          <cell r="DI4151" t="str">
            <v>)*2*90</v>
          </cell>
        </row>
        <row r="4152">
          <cell r="F4152" t="str">
            <v>21.1-25-13</v>
          </cell>
          <cell r="G4152" t="str">
            <v>Вода</v>
          </cell>
          <cell r="H4152" t="str">
            <v>м3</v>
          </cell>
          <cell r="I4152">
            <v>-227.196</v>
          </cell>
          <cell r="O4152">
            <v>-9642.2000000000007</v>
          </cell>
          <cell r="X4152">
            <v>0</v>
          </cell>
          <cell r="Y4152">
            <v>0</v>
          </cell>
          <cell r="AE4152">
            <v>0</v>
          </cell>
          <cell r="AF4152">
            <v>0</v>
          </cell>
          <cell r="AK4152">
            <v>42.44</v>
          </cell>
          <cell r="AV4152">
            <v>1</v>
          </cell>
          <cell r="AW4152">
            <v>1</v>
          </cell>
          <cell r="BC4152">
            <v>1</v>
          </cell>
          <cell r="BZ4152">
            <v>70</v>
          </cell>
          <cell r="CA4152">
            <v>10</v>
          </cell>
          <cell r="CS4152">
            <v>0</v>
          </cell>
        </row>
        <row r="4154">
          <cell r="G4154" t="str">
            <v>Содержание покрытий( S=1262,2 м2)</v>
          </cell>
        </row>
        <row r="4184">
          <cell r="G4184" t="str">
            <v>Содержание покрытий тротуара " Храма зачатия праведной Анны".( S= 1262,2 м2 ).</v>
          </cell>
        </row>
        <row r="4214">
          <cell r="G4214" t="str">
            <v>Боевой ход Китайгородской стены. (S=1414,76м2)</v>
          </cell>
        </row>
        <row r="4218">
          <cell r="G4218" t="str">
            <v>Содержание покрытий</v>
          </cell>
        </row>
        <row r="4222">
          <cell r="F4222" t="str">
            <v>5.3-1101-13-1/1</v>
          </cell>
          <cell r="G4222" t="str">
            <v>Подметание вручную дорожек и площадок с твердым покрытием</v>
          </cell>
          <cell r="H4222" t="str">
            <v>100 м2</v>
          </cell>
          <cell r="I4222">
            <v>14.147600000000001</v>
          </cell>
          <cell r="S4222">
            <v>195443.15</v>
          </cell>
          <cell r="U4222">
            <v>788.30427200000008</v>
          </cell>
          <cell r="X4222">
            <v>136810.21</v>
          </cell>
          <cell r="Y4222">
            <v>19544.32</v>
          </cell>
          <cell r="AE4222">
            <v>0</v>
          </cell>
          <cell r="AF4222">
            <v>13814.58</v>
          </cell>
          <cell r="AO4222">
            <v>34.71</v>
          </cell>
          <cell r="AQ4222">
            <v>0.14000000000000001</v>
          </cell>
          <cell r="AT4222">
            <v>70</v>
          </cell>
          <cell r="AU4222">
            <v>10</v>
          </cell>
          <cell r="AV4222">
            <v>1</v>
          </cell>
          <cell r="BA4222">
            <v>1</v>
          </cell>
          <cell r="BZ4222">
            <v>70</v>
          </cell>
          <cell r="CA4222">
            <v>10</v>
          </cell>
          <cell r="CS4222">
            <v>0</v>
          </cell>
          <cell r="DG4222" t="str">
            <v>)*1*398</v>
          </cell>
          <cell r="DI4222" t="str">
            <v>)*1*398</v>
          </cell>
        </row>
        <row r="4224">
          <cell r="G4224" t="str">
            <v>Содержание покрытий</v>
          </cell>
        </row>
        <row r="4254">
          <cell r="G4254" t="str">
            <v>Лестница</v>
          </cell>
        </row>
        <row r="4258">
          <cell r="F4258" t="str">
            <v>калькуляция</v>
          </cell>
          <cell r="G4258" t="str">
            <v>Подметание металлической лестницы</v>
          </cell>
          <cell r="H4258" t="str">
            <v>м2</v>
          </cell>
          <cell r="I4258">
            <v>29.8</v>
          </cell>
          <cell r="S4258">
            <v>54676.44</v>
          </cell>
          <cell r="X4258">
            <v>0</v>
          </cell>
          <cell r="Y4258">
            <v>0</v>
          </cell>
          <cell r="AE4258">
            <v>0</v>
          </cell>
          <cell r="AF4258">
            <v>1834.78</v>
          </cell>
          <cell r="AO4258">
            <v>4.6100000000000003</v>
          </cell>
          <cell r="AV4258">
            <v>1</v>
          </cell>
          <cell r="BA4258">
            <v>1</v>
          </cell>
          <cell r="BZ4258">
            <v>0</v>
          </cell>
          <cell r="CA4258">
            <v>0</v>
          </cell>
          <cell r="CS4258">
            <v>0</v>
          </cell>
          <cell r="DG4258" t="str">
            <v>)*1*398</v>
          </cell>
        </row>
        <row r="4259">
          <cell r="F4259" t="str">
            <v>5.3-1101-14-1/1</v>
          </cell>
          <cell r="G4259" t="str">
            <v>Полив дорожек из шланга вручную( мытье лестницы)</v>
          </cell>
          <cell r="H4259" t="str">
            <v>100 м2</v>
          </cell>
          <cell r="I4259">
            <v>0.29799999999999999</v>
          </cell>
          <cell r="P4259">
            <v>15.16</v>
          </cell>
          <cell r="S4259">
            <v>115.25</v>
          </cell>
          <cell r="U4259">
            <v>0.46488000000000002</v>
          </cell>
          <cell r="X4259">
            <v>80.680000000000007</v>
          </cell>
          <cell r="Y4259">
            <v>11.53</v>
          </cell>
          <cell r="AE4259">
            <v>0</v>
          </cell>
          <cell r="AF4259">
            <v>386.76</v>
          </cell>
          <cell r="AL4259">
            <v>4.24</v>
          </cell>
          <cell r="AO4259">
            <v>32.229999999999997</v>
          </cell>
          <cell r="AQ4259">
            <v>0.13</v>
          </cell>
          <cell r="AT4259">
            <v>70</v>
          </cell>
          <cell r="AU4259">
            <v>10</v>
          </cell>
          <cell r="AV4259">
            <v>1</v>
          </cell>
          <cell r="AW4259">
            <v>1</v>
          </cell>
          <cell r="BA4259">
            <v>1</v>
          </cell>
          <cell r="BC4259">
            <v>1</v>
          </cell>
          <cell r="BZ4259">
            <v>70</v>
          </cell>
          <cell r="CA4259">
            <v>10</v>
          </cell>
          <cell r="CS4259">
            <v>0</v>
          </cell>
          <cell r="DD4259" t="str">
            <v>)*1*12</v>
          </cell>
          <cell r="DG4259" t="str">
            <v>)*1*12</v>
          </cell>
          <cell r="DI4259" t="str">
            <v>)*1*12</v>
          </cell>
        </row>
        <row r="4260">
          <cell r="F4260" t="str">
            <v>21.1-25-13</v>
          </cell>
          <cell r="G4260" t="str">
            <v>Вода</v>
          </cell>
          <cell r="H4260" t="str">
            <v>м3</v>
          </cell>
          <cell r="I4260">
            <v>-0.35759999999999997</v>
          </cell>
          <cell r="O4260">
            <v>-15.18</v>
          </cell>
          <cell r="X4260">
            <v>0</v>
          </cell>
          <cell r="Y4260">
            <v>0</v>
          </cell>
          <cell r="AE4260">
            <v>0</v>
          </cell>
          <cell r="AF4260">
            <v>0</v>
          </cell>
          <cell r="AK4260">
            <v>42.44</v>
          </cell>
          <cell r="AV4260">
            <v>1</v>
          </cell>
          <cell r="AW4260">
            <v>1</v>
          </cell>
          <cell r="BC4260">
            <v>1</v>
          </cell>
          <cell r="BZ4260">
            <v>70</v>
          </cell>
          <cell r="CA4260">
            <v>10</v>
          </cell>
          <cell r="CS4260">
            <v>0</v>
          </cell>
        </row>
        <row r="4262">
          <cell r="G4262" t="str">
            <v>Лестница</v>
          </cell>
        </row>
        <row r="4292">
          <cell r="G4292" t="str">
            <v>Боевой ход Китайгородской стены. (S=1414,76м2)</v>
          </cell>
        </row>
        <row r="4322">
          <cell r="G4322" t="str">
            <v>Старый Английский двор</v>
          </cell>
        </row>
        <row r="4326">
          <cell r="G4326" t="str">
            <v>Уход за покрытием</v>
          </cell>
        </row>
        <row r="4330">
          <cell r="F4330" t="str">
            <v>5.3-1101-13-1/1</v>
          </cell>
          <cell r="G4330" t="str">
            <v>Подметание вручную дорожек и площадок с твердым покрытием</v>
          </cell>
          <cell r="H4330" t="str">
            <v>100 м2</v>
          </cell>
          <cell r="I4330">
            <v>5.6150000000000002</v>
          </cell>
          <cell r="S4330">
            <v>232706.6</v>
          </cell>
          <cell r="U4330">
            <v>938.60340000000019</v>
          </cell>
          <cell r="X4330">
            <v>162894.62</v>
          </cell>
          <cell r="Y4330">
            <v>23270.66</v>
          </cell>
          <cell r="AE4330">
            <v>0</v>
          </cell>
          <cell r="AF4330">
            <v>41443.74</v>
          </cell>
          <cell r="AO4330">
            <v>34.71</v>
          </cell>
          <cell r="AQ4330">
            <v>0.14000000000000001</v>
          </cell>
          <cell r="AT4330">
            <v>70</v>
          </cell>
          <cell r="AU4330">
            <v>10</v>
          </cell>
          <cell r="AV4330">
            <v>1</v>
          </cell>
          <cell r="BA4330">
            <v>1</v>
          </cell>
          <cell r="BZ4330">
            <v>70</v>
          </cell>
          <cell r="CA4330">
            <v>10</v>
          </cell>
          <cell r="CS4330">
            <v>0</v>
          </cell>
          <cell r="DG4330" t="str">
            <v>)*3*398</v>
          </cell>
          <cell r="DI4330" t="str">
            <v>)*3*398</v>
          </cell>
        </row>
        <row r="4331">
          <cell r="F4331" t="str">
            <v>5.3-1101-14-1/1</v>
          </cell>
          <cell r="G4331" t="str">
            <v>Полив дорожек из шланга вручную</v>
          </cell>
          <cell r="H4331" t="str">
            <v>100 м2</v>
          </cell>
          <cell r="I4331">
            <v>5.6150000000000002</v>
          </cell>
          <cell r="P4331">
            <v>4285.37</v>
          </cell>
          <cell r="S4331">
            <v>32574.86</v>
          </cell>
          <cell r="U4331">
            <v>131.39100000000002</v>
          </cell>
          <cell r="X4331">
            <v>22802.400000000001</v>
          </cell>
          <cell r="Y4331">
            <v>3257.49</v>
          </cell>
          <cell r="AE4331">
            <v>0</v>
          </cell>
          <cell r="AF4331">
            <v>5801.4</v>
          </cell>
          <cell r="AL4331">
            <v>4.24</v>
          </cell>
          <cell r="AO4331">
            <v>32.229999999999997</v>
          </cell>
          <cell r="AQ4331">
            <v>0.13</v>
          </cell>
          <cell r="AT4331">
            <v>70</v>
          </cell>
          <cell r="AU4331">
            <v>10</v>
          </cell>
          <cell r="AV4331">
            <v>1</v>
          </cell>
          <cell r="AW4331">
            <v>1</v>
          </cell>
          <cell r="BA4331">
            <v>1</v>
          </cell>
          <cell r="BC4331">
            <v>1</v>
          </cell>
          <cell r="BZ4331">
            <v>70</v>
          </cell>
          <cell r="CA4331">
            <v>10</v>
          </cell>
          <cell r="CS4331">
            <v>0</v>
          </cell>
          <cell r="DD4331" t="str">
            <v>)*2*90</v>
          </cell>
          <cell r="DG4331" t="str">
            <v>)*2*90</v>
          </cell>
          <cell r="DI4331" t="str">
            <v>)*2*90</v>
          </cell>
        </row>
        <row r="4332">
          <cell r="F4332" t="str">
            <v>21.1-25-13</v>
          </cell>
          <cell r="G4332" t="str">
            <v>Вода</v>
          </cell>
          <cell r="H4332" t="str">
            <v>м3</v>
          </cell>
          <cell r="I4332">
            <v>-101.06999999999998</v>
          </cell>
          <cell r="O4332">
            <v>-4289.41</v>
          </cell>
          <cell r="X4332">
            <v>0</v>
          </cell>
          <cell r="Y4332">
            <v>0</v>
          </cell>
          <cell r="AE4332">
            <v>0</v>
          </cell>
          <cell r="AF4332">
            <v>0</v>
          </cell>
          <cell r="AK4332">
            <v>42.44</v>
          </cell>
          <cell r="AV4332">
            <v>1</v>
          </cell>
          <cell r="AW4332">
            <v>1</v>
          </cell>
          <cell r="BC4332">
            <v>1</v>
          </cell>
          <cell r="BZ4332">
            <v>70</v>
          </cell>
          <cell r="CA4332">
            <v>10</v>
          </cell>
          <cell r="CS4332">
            <v>0</v>
          </cell>
        </row>
        <row r="4334">
          <cell r="G4334" t="str">
            <v>Уход за покрытием</v>
          </cell>
        </row>
        <row r="4364">
          <cell r="G4364" t="str">
            <v>Лестница с крыльцом</v>
          </cell>
        </row>
        <row r="4368">
          <cell r="F4368" t="str">
            <v>5.3-1101-13-1/1</v>
          </cell>
          <cell r="G4368" t="str">
            <v>Подметание вручную дорожек и площадок с твердым покрытием</v>
          </cell>
          <cell r="H4368" t="str">
            <v>100 м2</v>
          </cell>
          <cell r="I4368">
            <v>0.29570000000000002</v>
          </cell>
          <cell r="S4368">
            <v>8169.94</v>
          </cell>
          <cell r="U4368">
            <v>32.952808000000005</v>
          </cell>
          <cell r="X4368">
            <v>5718.96</v>
          </cell>
          <cell r="Y4368">
            <v>816.99</v>
          </cell>
          <cell r="AE4368">
            <v>0</v>
          </cell>
          <cell r="AF4368">
            <v>27629.16</v>
          </cell>
          <cell r="AO4368">
            <v>34.71</v>
          </cell>
          <cell r="AQ4368">
            <v>0.14000000000000001</v>
          </cell>
          <cell r="AT4368">
            <v>70</v>
          </cell>
          <cell r="AU4368">
            <v>10</v>
          </cell>
          <cell r="AV4368">
            <v>1</v>
          </cell>
          <cell r="BA4368">
            <v>1</v>
          </cell>
          <cell r="BZ4368">
            <v>70</v>
          </cell>
          <cell r="CA4368">
            <v>10</v>
          </cell>
          <cell r="CS4368">
            <v>0</v>
          </cell>
          <cell r="DG4368" t="str">
            <v>)*2*398</v>
          </cell>
          <cell r="DI4368" t="str">
            <v>)*2*398</v>
          </cell>
        </row>
        <row r="4369">
          <cell r="F4369" t="str">
            <v>5.3-1101-14-1/1</v>
          </cell>
          <cell r="G4369" t="str">
            <v>Полив дорожек из шланга вручную( промывка пролета)</v>
          </cell>
          <cell r="H4369" t="str">
            <v>100 м2</v>
          </cell>
          <cell r="I4369">
            <v>0.29570000000000002</v>
          </cell>
          <cell r="P4369">
            <v>72.72</v>
          </cell>
          <cell r="S4369">
            <v>552.76</v>
          </cell>
          <cell r="U4369">
            <v>2.2295780000000001</v>
          </cell>
          <cell r="X4369">
            <v>386.93</v>
          </cell>
          <cell r="Y4369">
            <v>55.28</v>
          </cell>
          <cell r="AE4369">
            <v>0</v>
          </cell>
          <cell r="AF4369">
            <v>1869.34</v>
          </cell>
          <cell r="AL4369">
            <v>4.24</v>
          </cell>
          <cell r="AO4369">
            <v>32.229999999999997</v>
          </cell>
          <cell r="AQ4369">
            <v>0.13</v>
          </cell>
          <cell r="AT4369">
            <v>70</v>
          </cell>
          <cell r="AU4369">
            <v>10</v>
          </cell>
          <cell r="AV4369">
            <v>1</v>
          </cell>
          <cell r="AW4369">
            <v>1</v>
          </cell>
          <cell r="BA4369">
            <v>1</v>
          </cell>
          <cell r="BC4369">
            <v>1</v>
          </cell>
          <cell r="BZ4369">
            <v>70</v>
          </cell>
          <cell r="CA4369">
            <v>10</v>
          </cell>
          <cell r="CS4369">
            <v>0</v>
          </cell>
          <cell r="DD4369" t="str">
            <v>)*1*58</v>
          </cell>
          <cell r="DG4369" t="str">
            <v>)*1*58</v>
          </cell>
          <cell r="DI4369" t="str">
            <v>)*1*58</v>
          </cell>
        </row>
        <row r="4370">
          <cell r="F4370" t="str">
            <v>21.1-25-13</v>
          </cell>
          <cell r="G4370" t="str">
            <v>Вода</v>
          </cell>
          <cell r="H4370" t="str">
            <v>м3</v>
          </cell>
          <cell r="I4370">
            <v>-1.71506</v>
          </cell>
          <cell r="O4370">
            <v>-72.790000000000006</v>
          </cell>
          <cell r="X4370">
            <v>0</v>
          </cell>
          <cell r="Y4370">
            <v>0</v>
          </cell>
          <cell r="AE4370">
            <v>0</v>
          </cell>
          <cell r="AF4370">
            <v>0</v>
          </cell>
          <cell r="AK4370">
            <v>42.44</v>
          </cell>
          <cell r="AV4370">
            <v>1</v>
          </cell>
          <cell r="AW4370">
            <v>1</v>
          </cell>
          <cell r="BC4370">
            <v>1</v>
          </cell>
          <cell r="BZ4370">
            <v>70</v>
          </cell>
          <cell r="CA4370">
            <v>10</v>
          </cell>
          <cell r="CS4370">
            <v>0</v>
          </cell>
        </row>
        <row r="4372">
          <cell r="G4372" t="str">
            <v>Лестница с крыльцом</v>
          </cell>
        </row>
        <row r="4402">
          <cell r="G4402" t="str">
            <v>Старый Английский двор</v>
          </cell>
        </row>
        <row r="4432">
          <cell r="G4432" t="str">
            <v>Пешеходный переход к Подземному музею</v>
          </cell>
        </row>
        <row r="4436">
          <cell r="G4436" t="str">
            <v>Уход за покрытием</v>
          </cell>
        </row>
        <row r="4440">
          <cell r="F4440" t="str">
            <v>5.3-1101-13-1/1</v>
          </cell>
          <cell r="G4440" t="str">
            <v>Подметание вручную дорожек и площадок с твердым покрытием</v>
          </cell>
          <cell r="H4440" t="str">
            <v>100 м2</v>
          </cell>
          <cell r="I4440">
            <v>2.4714</v>
          </cell>
          <cell r="S4440">
            <v>34141.35</v>
          </cell>
          <cell r="U4440">
            <v>137.70640800000001</v>
          </cell>
          <cell r="X4440">
            <v>23898.95</v>
          </cell>
          <cell r="Y4440">
            <v>3414.14</v>
          </cell>
          <cell r="AE4440">
            <v>0</v>
          </cell>
          <cell r="AF4440">
            <v>13814.58</v>
          </cell>
          <cell r="AO4440">
            <v>34.71</v>
          </cell>
          <cell r="AQ4440">
            <v>0.14000000000000001</v>
          </cell>
          <cell r="AT4440">
            <v>70</v>
          </cell>
          <cell r="AU4440">
            <v>10</v>
          </cell>
          <cell r="AV4440">
            <v>1</v>
          </cell>
          <cell r="BA4440">
            <v>1</v>
          </cell>
          <cell r="BZ4440">
            <v>70</v>
          </cell>
          <cell r="CA4440">
            <v>10</v>
          </cell>
          <cell r="CS4440">
            <v>0</v>
          </cell>
          <cell r="DG4440" t="str">
            <v>)*1*398</v>
          </cell>
          <cell r="DI4440" t="str">
            <v>)*1*398</v>
          </cell>
        </row>
        <row r="4441">
          <cell r="F4441" t="str">
            <v>5.3-1101-13-1/1</v>
          </cell>
          <cell r="G4441" t="str">
            <v>Подметание вручную дорожек и площадок с твердым покрытием (  дополнительное подметание покрытий в особо ответственных местах среди дня   247,14м2* 0,3= 74,14 м2)</v>
          </cell>
          <cell r="H4441" t="str">
            <v>100 м2</v>
          </cell>
          <cell r="I4441">
            <v>0.74139999999999995</v>
          </cell>
          <cell r="S4441">
            <v>2573.4</v>
          </cell>
          <cell r="U4441">
            <v>10.3796</v>
          </cell>
          <cell r="X4441">
            <v>1801.38</v>
          </cell>
          <cell r="Y4441">
            <v>257.33999999999997</v>
          </cell>
          <cell r="AE4441">
            <v>0</v>
          </cell>
          <cell r="AF4441">
            <v>3471</v>
          </cell>
          <cell r="AO4441">
            <v>34.71</v>
          </cell>
          <cell r="AQ4441">
            <v>0.14000000000000001</v>
          </cell>
          <cell r="AT4441">
            <v>70</v>
          </cell>
          <cell r="AU4441">
            <v>10</v>
          </cell>
          <cell r="AV4441">
            <v>1</v>
          </cell>
          <cell r="BA4441">
            <v>1</v>
          </cell>
          <cell r="BZ4441">
            <v>70</v>
          </cell>
          <cell r="CA4441">
            <v>10</v>
          </cell>
          <cell r="CS4441">
            <v>0</v>
          </cell>
          <cell r="DG4441" t="str">
            <v>)*1*100</v>
          </cell>
          <cell r="DI4441" t="str">
            <v>)*1*100</v>
          </cell>
        </row>
        <row r="4442">
          <cell r="F4442" t="str">
            <v>5.3-1101-14-1/1</v>
          </cell>
          <cell r="G4442" t="str">
            <v>Полив дорожек из шланга вручную</v>
          </cell>
          <cell r="H4442" t="str">
            <v>100 м2</v>
          </cell>
          <cell r="I4442">
            <v>2.4714</v>
          </cell>
          <cell r="P4442">
            <v>125.74</v>
          </cell>
          <cell r="S4442">
            <v>955.84</v>
          </cell>
          <cell r="U4442">
            <v>3.8553840000000004</v>
          </cell>
          <cell r="X4442">
            <v>669.09</v>
          </cell>
          <cell r="Y4442">
            <v>95.58</v>
          </cell>
          <cell r="AE4442">
            <v>0</v>
          </cell>
          <cell r="AF4442">
            <v>386.76</v>
          </cell>
          <cell r="AL4442">
            <v>4.24</v>
          </cell>
          <cell r="AO4442">
            <v>32.229999999999997</v>
          </cell>
          <cell r="AQ4442">
            <v>0.13</v>
          </cell>
          <cell r="AT4442">
            <v>70</v>
          </cell>
          <cell r="AU4442">
            <v>10</v>
          </cell>
          <cell r="AV4442">
            <v>1</v>
          </cell>
          <cell r="AW4442">
            <v>1</v>
          </cell>
          <cell r="BA4442">
            <v>1</v>
          </cell>
          <cell r="BC4442">
            <v>1</v>
          </cell>
          <cell r="BZ4442">
            <v>70</v>
          </cell>
          <cell r="CA4442">
            <v>10</v>
          </cell>
          <cell r="CS4442">
            <v>0</v>
          </cell>
          <cell r="DD4442" t="str">
            <v>)*1*12</v>
          </cell>
          <cell r="DG4442" t="str">
            <v>)*1*12</v>
          </cell>
          <cell r="DI4442" t="str">
            <v>)*1*12</v>
          </cell>
        </row>
        <row r="4443">
          <cell r="F4443" t="str">
            <v>21.1-25-13</v>
          </cell>
          <cell r="G4443" t="str">
            <v>Вода</v>
          </cell>
          <cell r="H4443" t="str">
            <v>м3</v>
          </cell>
          <cell r="I4443">
            <v>-2.9656799999999999</v>
          </cell>
          <cell r="O4443">
            <v>-125.86</v>
          </cell>
          <cell r="X4443">
            <v>0</v>
          </cell>
          <cell r="Y4443">
            <v>0</v>
          </cell>
          <cell r="AE4443">
            <v>0</v>
          </cell>
          <cell r="AF4443">
            <v>0</v>
          </cell>
          <cell r="AK4443">
            <v>42.44</v>
          </cell>
          <cell r="AV4443">
            <v>1</v>
          </cell>
          <cell r="AW4443">
            <v>1</v>
          </cell>
          <cell r="BC4443">
            <v>1</v>
          </cell>
          <cell r="BZ4443">
            <v>70</v>
          </cell>
          <cell r="CA4443">
            <v>10</v>
          </cell>
          <cell r="CS4443">
            <v>0</v>
          </cell>
        </row>
        <row r="4445">
          <cell r="G4445" t="str">
            <v>Уход за покрытием</v>
          </cell>
        </row>
        <row r="4475">
          <cell r="G4475" t="str">
            <v>Водотводной лоток</v>
          </cell>
        </row>
        <row r="4479">
          <cell r="F4479" t="str">
            <v>5.3-1101-20-1/1</v>
          </cell>
          <cell r="G4479" t="str">
            <v>Прочистка водоотводных лотков в отмостке</v>
          </cell>
          <cell r="H4479" t="str">
            <v>10 м</v>
          </cell>
          <cell r="I4479">
            <v>4.819</v>
          </cell>
          <cell r="S4479">
            <v>12778.25</v>
          </cell>
          <cell r="U4479">
            <v>71.70671999999999</v>
          </cell>
          <cell r="X4479">
            <v>8944.7800000000007</v>
          </cell>
          <cell r="Y4479">
            <v>1277.83</v>
          </cell>
          <cell r="AE4479">
            <v>0</v>
          </cell>
          <cell r="AF4479">
            <v>2651.64</v>
          </cell>
          <cell r="AO4479">
            <v>220.97</v>
          </cell>
          <cell r="AQ4479">
            <v>1.24</v>
          </cell>
          <cell r="AT4479">
            <v>70</v>
          </cell>
          <cell r="AU4479">
            <v>10</v>
          </cell>
          <cell r="AV4479">
            <v>1</v>
          </cell>
          <cell r="BA4479">
            <v>1</v>
          </cell>
          <cell r="BZ4479">
            <v>70</v>
          </cell>
          <cell r="CA4479">
            <v>10</v>
          </cell>
          <cell r="CS4479">
            <v>0</v>
          </cell>
          <cell r="DG4479" t="str">
            <v>)*1*12</v>
          </cell>
          <cell r="DI4479" t="str">
            <v>)*1*12</v>
          </cell>
        </row>
        <row r="4481">
          <cell r="G4481" t="str">
            <v>Водотводной лоток</v>
          </cell>
        </row>
        <row r="4511">
          <cell r="G4511" t="str">
            <v>Пешеходный переход к Подземному музею</v>
          </cell>
        </row>
        <row r="4541">
          <cell r="G4541" t="str">
            <v>Очистка искусственных прудов</v>
          </cell>
        </row>
        <row r="4545">
          <cell r="F4545" t="str">
            <v>2.12-1101-23-1/1</v>
          </cell>
          <cell r="G4545" t="str">
            <v>Очистка искусственных прудов на территории парка "Зарядье" - механическая очистка водоема</v>
          </cell>
          <cell r="H4545" t="str">
            <v>10 м2</v>
          </cell>
          <cell r="I4545">
            <v>118.1</v>
          </cell>
          <cell r="Q4545">
            <v>114325.52</v>
          </cell>
          <cell r="S4545">
            <v>2153421.23</v>
          </cell>
          <cell r="U4545">
            <v>7000.9679999999998</v>
          </cell>
          <cell r="X4545">
            <v>1507394.86</v>
          </cell>
          <cell r="Y4545">
            <v>215342.12</v>
          </cell>
          <cell r="AE4545">
            <v>0</v>
          </cell>
          <cell r="AF4545">
            <v>18233.88</v>
          </cell>
          <cell r="AM4545">
            <v>80.67</v>
          </cell>
          <cell r="AO4545">
            <v>1519.49</v>
          </cell>
          <cell r="AQ4545">
            <v>4.9400000000000004</v>
          </cell>
          <cell r="AT4545">
            <v>70</v>
          </cell>
          <cell r="AU4545">
            <v>10</v>
          </cell>
          <cell r="AV4545">
            <v>1</v>
          </cell>
          <cell r="BA4545">
            <v>1</v>
          </cell>
          <cell r="BB4545">
            <v>1</v>
          </cell>
          <cell r="BZ4545">
            <v>70</v>
          </cell>
          <cell r="CA4545">
            <v>10</v>
          </cell>
          <cell r="CS4545">
            <v>0</v>
          </cell>
          <cell r="DE4545" t="str">
            <v>)*1*12</v>
          </cell>
          <cell r="DG4545" t="str">
            <v>)*1*12</v>
          </cell>
          <cell r="DI4545" t="str">
            <v>)*1*12</v>
          </cell>
        </row>
        <row r="4546">
          <cell r="F4546" t="str">
            <v>цена поставщика</v>
          </cell>
          <cell r="G4546" t="str">
            <v>пакеты ПНД для мусора, объем пакета 240л( длина-1400мм, ширина-900 мм, толщина- 40мкм)</v>
          </cell>
          <cell r="H4546" t="str">
            <v>шт.</v>
          </cell>
          <cell r="I4546">
            <v>719.99995699999999</v>
          </cell>
          <cell r="O4546">
            <v>12873.6</v>
          </cell>
          <cell r="X4546">
            <v>0</v>
          </cell>
          <cell r="Y4546">
            <v>0</v>
          </cell>
          <cell r="AE4546">
            <v>0</v>
          </cell>
          <cell r="AF4546">
            <v>0</v>
          </cell>
          <cell r="AK4546">
            <v>17.88</v>
          </cell>
          <cell r="AV4546">
            <v>1</v>
          </cell>
          <cell r="AW4546">
            <v>1</v>
          </cell>
          <cell r="BC4546">
            <v>1</v>
          </cell>
          <cell r="BZ4546">
            <v>70</v>
          </cell>
          <cell r="CA4546">
            <v>10</v>
          </cell>
          <cell r="CS4546">
            <v>0</v>
          </cell>
        </row>
        <row r="4547">
          <cell r="F4547" t="str">
            <v>2.12-1101-23-2/1</v>
          </cell>
          <cell r="G4547" t="str">
            <v>Очистка искусственных прудов на территории парка "Зарядье" - очистка камней-валунов береговой линии</v>
          </cell>
          <cell r="H4547" t="str">
            <v>10 м2</v>
          </cell>
          <cell r="I4547">
            <v>40.123199999999997</v>
          </cell>
          <cell r="Q4547">
            <v>28816.48</v>
          </cell>
          <cell r="R4547">
            <v>19.260000000000002</v>
          </cell>
          <cell r="S4547">
            <v>642744.78</v>
          </cell>
          <cell r="U4547">
            <v>2089.6162559999998</v>
          </cell>
          <cell r="X4547">
            <v>449921.35</v>
          </cell>
          <cell r="Y4547">
            <v>64274.48</v>
          </cell>
          <cell r="AE4547">
            <v>0.48</v>
          </cell>
          <cell r="AF4547">
            <v>16019.28</v>
          </cell>
          <cell r="AM4547">
            <v>59.85</v>
          </cell>
          <cell r="AN4547">
            <v>0.04</v>
          </cell>
          <cell r="AO4547">
            <v>1334.94</v>
          </cell>
          <cell r="AQ4547">
            <v>4.34</v>
          </cell>
          <cell r="AT4547">
            <v>70</v>
          </cell>
          <cell r="AU4547">
            <v>10</v>
          </cell>
          <cell r="AV4547">
            <v>1</v>
          </cell>
          <cell r="BA4547">
            <v>1</v>
          </cell>
          <cell r="BB4547">
            <v>1</v>
          </cell>
          <cell r="BS4547">
            <v>1</v>
          </cell>
          <cell r="BZ4547">
            <v>70</v>
          </cell>
          <cell r="CA4547">
            <v>10</v>
          </cell>
          <cell r="CS4547">
            <v>0.48</v>
          </cell>
          <cell r="DE4547" t="str">
            <v>)*1*12</v>
          </cell>
          <cell r="DF4547" t="str">
            <v>)*1*12</v>
          </cell>
          <cell r="DG4547" t="str">
            <v>)*1*12</v>
          </cell>
          <cell r="DI4547" t="str">
            <v>)*1*12</v>
          </cell>
        </row>
        <row r="4548">
          <cell r="F4548" t="str">
            <v>2.12-1101-23-3/1</v>
          </cell>
          <cell r="G4548" t="str">
            <v>Очистка искусственных прудов на территории парка "Зарядье" - биологическая очистка</v>
          </cell>
          <cell r="H4548" t="str">
            <v>шт.</v>
          </cell>
          <cell r="I4548">
            <v>1</v>
          </cell>
          <cell r="S4548">
            <v>369.12</v>
          </cell>
          <cell r="U4548">
            <v>1.2</v>
          </cell>
          <cell r="X4548">
            <v>258.38</v>
          </cell>
          <cell r="Y4548">
            <v>36.909999999999997</v>
          </cell>
          <cell r="AE4548">
            <v>0</v>
          </cell>
          <cell r="AF4548">
            <v>369.12</v>
          </cell>
          <cell r="AO4548">
            <v>92.28</v>
          </cell>
          <cell r="AQ4548">
            <v>0.3</v>
          </cell>
          <cell r="AT4548">
            <v>70</v>
          </cell>
          <cell r="AU4548">
            <v>10</v>
          </cell>
          <cell r="AV4548">
            <v>1</v>
          </cell>
          <cell r="BA4548">
            <v>1</v>
          </cell>
          <cell r="BZ4548">
            <v>70</v>
          </cell>
          <cell r="CA4548">
            <v>10</v>
          </cell>
          <cell r="CS4548">
            <v>0</v>
          </cell>
          <cell r="DG4548" t="str">
            <v>)*1*4</v>
          </cell>
          <cell r="DI4548" t="str">
            <v>)*1*4</v>
          </cell>
        </row>
        <row r="4549">
          <cell r="F4549" t="str">
            <v>21.1-25-1155</v>
          </cell>
          <cell r="G4549" t="str">
            <v>Средство концентрированное альгицидное для борьбы с нитевидными водорослями, ряской в прудах и водоемах, типа "Тетра Понд АлгоФин"</v>
          </cell>
          <cell r="H4549" t="str">
            <v>л</v>
          </cell>
          <cell r="I4549">
            <v>126</v>
          </cell>
          <cell r="O4549">
            <v>125739.18</v>
          </cell>
          <cell r="X4549">
            <v>0</v>
          </cell>
          <cell r="Y4549">
            <v>0</v>
          </cell>
          <cell r="AE4549">
            <v>0</v>
          </cell>
          <cell r="AF4549">
            <v>0</v>
          </cell>
          <cell r="AK4549">
            <v>997.93</v>
          </cell>
          <cell r="AV4549">
            <v>1</v>
          </cell>
          <cell r="AW4549">
            <v>1</v>
          </cell>
          <cell r="BC4549">
            <v>1</v>
          </cell>
          <cell r="BZ4549">
            <v>70</v>
          </cell>
          <cell r="CA4549">
            <v>10</v>
          </cell>
          <cell r="CS4549">
            <v>0</v>
          </cell>
        </row>
        <row r="4550">
          <cell r="F4550" t="str">
            <v>21.1-25-1156</v>
          </cell>
          <cell r="G4550" t="str">
            <v>Средство концентрированное биологическое с микроорганизмами высокоэффективное для очистки прудов и водоемов, типа BB-P100</v>
          </cell>
          <cell r="H4550" t="str">
            <v>кг</v>
          </cell>
          <cell r="I4550">
            <v>126</v>
          </cell>
          <cell r="O4550">
            <v>171542.7</v>
          </cell>
          <cell r="X4550">
            <v>0</v>
          </cell>
          <cell r="Y4550">
            <v>0</v>
          </cell>
          <cell r="AE4550">
            <v>0</v>
          </cell>
          <cell r="AF4550">
            <v>0</v>
          </cell>
          <cell r="AK4550">
            <v>1361.45</v>
          </cell>
          <cell r="AV4550">
            <v>1</v>
          </cell>
          <cell r="AW4550">
            <v>1</v>
          </cell>
          <cell r="BC4550">
            <v>1</v>
          </cell>
          <cell r="BZ4550">
            <v>70</v>
          </cell>
          <cell r="CA4550">
            <v>10</v>
          </cell>
          <cell r="CS4550">
            <v>0</v>
          </cell>
        </row>
        <row r="4552">
          <cell r="G4552" t="str">
            <v>Очистка искусственных прудов</v>
          </cell>
        </row>
        <row r="4582">
          <cell r="G4582" t="str">
            <v>Летняя уборка территории</v>
          </cell>
        </row>
        <row r="4612">
          <cell r="G4612" t="str">
            <v>Зимняя уборка территории ( доп. соглашение )</v>
          </cell>
        </row>
        <row r="4616">
          <cell r="G4616" t="str">
            <v>ул. Варварка</v>
          </cell>
        </row>
        <row r="4620">
          <cell r="G4620" t="str">
            <v>Содержание плиточного покрытия тротуара из гранитной плитки , пескоуловитель из фибробетона ( S= 2485,6 м2 + 21,48 м2= 2507,08 м2)</v>
          </cell>
        </row>
        <row r="4624">
          <cell r="F4624" t="str">
            <v>калькуляция</v>
          </cell>
          <cell r="G4624" t="str">
            <v>Подметание дорожек  механизированным способом ( S=2507,08 м2 *0,7=1754,96 м2)</v>
          </cell>
          <cell r="H4624" t="str">
            <v>м2</v>
          </cell>
          <cell r="I4624">
            <v>1754.96</v>
          </cell>
          <cell r="Q4624">
            <v>748314.94</v>
          </cell>
          <cell r="X4624">
            <v>0</v>
          </cell>
          <cell r="Y4624">
            <v>0</v>
          </cell>
          <cell r="AE4624">
            <v>0</v>
          </cell>
          <cell r="AF4624">
            <v>0</v>
          </cell>
          <cell r="AM4624">
            <v>0.65</v>
          </cell>
          <cell r="AV4624">
            <v>1</v>
          </cell>
          <cell r="BB4624">
            <v>1</v>
          </cell>
          <cell r="BZ4624">
            <v>0</v>
          </cell>
          <cell r="CA4624">
            <v>0</v>
          </cell>
          <cell r="CS4624">
            <v>0</v>
          </cell>
          <cell r="DE4624" t="str">
            <v>)*4*164</v>
          </cell>
        </row>
        <row r="4625">
          <cell r="F4625" t="str">
            <v>калькуляция</v>
          </cell>
          <cell r="G4625" t="str">
            <v>Подметание дорожек  вручную ( S=2507,08 м2*0,3=752,12 м2)</v>
          </cell>
          <cell r="H4625" t="str">
            <v>м2</v>
          </cell>
          <cell r="I4625">
            <v>752.12</v>
          </cell>
          <cell r="S4625">
            <v>651275.75</v>
          </cell>
          <cell r="X4625">
            <v>0</v>
          </cell>
          <cell r="Y4625">
            <v>0</v>
          </cell>
          <cell r="AE4625">
            <v>0</v>
          </cell>
          <cell r="AF4625">
            <v>865.92</v>
          </cell>
          <cell r="AO4625">
            <v>1.32</v>
          </cell>
          <cell r="AV4625">
            <v>1</v>
          </cell>
          <cell r="BA4625">
            <v>1</v>
          </cell>
          <cell r="BZ4625">
            <v>0</v>
          </cell>
          <cell r="CA4625">
            <v>0</v>
          </cell>
          <cell r="CS4625">
            <v>0</v>
          </cell>
          <cell r="DG4625" t="str">
            <v>)*4*164</v>
          </cell>
        </row>
        <row r="4626">
          <cell r="F4626" t="str">
            <v>калькуляция</v>
          </cell>
          <cell r="G4626" t="str">
            <v>Мытье дорожек  механизированным способом( 30% от2507,08 м2)</v>
          </cell>
          <cell r="H4626" t="str">
            <v>м2</v>
          </cell>
          <cell r="I4626">
            <v>752.12</v>
          </cell>
          <cell r="Q4626">
            <v>404580.39</v>
          </cell>
          <cell r="X4626">
            <v>0</v>
          </cell>
          <cell r="Y4626">
            <v>0</v>
          </cell>
          <cell r="AE4626">
            <v>0</v>
          </cell>
          <cell r="AF4626">
            <v>0</v>
          </cell>
          <cell r="AM4626">
            <v>3.28</v>
          </cell>
          <cell r="AV4626">
            <v>1</v>
          </cell>
          <cell r="BB4626">
            <v>1</v>
          </cell>
          <cell r="BZ4626">
            <v>0</v>
          </cell>
          <cell r="CA4626">
            <v>0</v>
          </cell>
          <cell r="CS4626">
            <v>0</v>
          </cell>
          <cell r="DE4626" t="str">
            <v>)*1*164</v>
          </cell>
        </row>
        <row r="4627">
          <cell r="F4627" t="str">
            <v>цена поставщика</v>
          </cell>
          <cell r="G4627" t="str">
            <v>Средство для механизированной мойки дорожных покрытий в зимнее время -ПГМ Жидкий хлористый кальций</v>
          </cell>
          <cell r="H4627" t="str">
            <v>л</v>
          </cell>
          <cell r="I4627">
            <v>37.004303999999998</v>
          </cell>
          <cell r="O4627">
            <v>435.54</v>
          </cell>
          <cell r="X4627">
            <v>0</v>
          </cell>
          <cell r="Y4627">
            <v>0</v>
          </cell>
          <cell r="AE4627">
            <v>0</v>
          </cell>
          <cell r="AF4627">
            <v>0</v>
          </cell>
          <cell r="AK4627">
            <v>11.77</v>
          </cell>
          <cell r="AV4627">
            <v>1</v>
          </cell>
          <cell r="AW4627">
            <v>1</v>
          </cell>
          <cell r="BC4627">
            <v>1</v>
          </cell>
          <cell r="BZ4627">
            <v>0</v>
          </cell>
          <cell r="CA4627">
            <v>0</v>
          </cell>
          <cell r="CS4627">
            <v>0</v>
          </cell>
        </row>
        <row r="4628">
          <cell r="F4628" t="str">
            <v>5.3-1102-12-1/1</v>
          </cell>
          <cell r="G4628" t="str">
            <v>Уборка снега средствами малой механизации ( 70% т 2507,08 м2, S=2507,08 м2*0,7=1754,96 м2)</v>
          </cell>
          <cell r="H4628" t="str">
            <v>1000 м2</v>
          </cell>
          <cell r="I4628">
            <v>1.7549600000000001</v>
          </cell>
          <cell r="Q4628">
            <v>835250.89</v>
          </cell>
          <cell r="R4628">
            <v>278299.03000000003</v>
          </cell>
          <cell r="X4628">
            <v>0</v>
          </cell>
          <cell r="Y4628">
            <v>0</v>
          </cell>
          <cell r="AE4628">
            <v>158578.56</v>
          </cell>
          <cell r="AF4628">
            <v>0</v>
          </cell>
          <cell r="AM4628">
            <v>708.24</v>
          </cell>
          <cell r="AN4628">
            <v>235.98</v>
          </cell>
          <cell r="AV4628">
            <v>1</v>
          </cell>
          <cell r="BB4628">
            <v>1</v>
          </cell>
          <cell r="BS4628">
            <v>1</v>
          </cell>
          <cell r="BZ4628">
            <v>70</v>
          </cell>
          <cell r="CA4628">
            <v>10</v>
          </cell>
          <cell r="CS4628">
            <v>158578.56</v>
          </cell>
          <cell r="DE4628" t="str">
            <v>*4*168</v>
          </cell>
          <cell r="DF4628" t="str">
            <v>*4*168</v>
          </cell>
        </row>
        <row r="4629">
          <cell r="F4629" t="str">
            <v>5.3-1102-8-1/1</v>
          </cell>
          <cell r="G4629" t="str">
            <v>Уборка свежевыпавшего снега вручную толщиной слоя до 10 см ( S= 2507,08 м2* 0,1*0,7*0,5 =87,75 м2)</v>
          </cell>
          <cell r="H4629" t="str">
            <v>100 м2</v>
          </cell>
          <cell r="I4629">
            <v>0.87749999999999995</v>
          </cell>
          <cell r="S4629">
            <v>95026.93</v>
          </cell>
          <cell r="U4629">
            <v>383.29199999999997</v>
          </cell>
          <cell r="X4629">
            <v>66518.850000000006</v>
          </cell>
          <cell r="Y4629">
            <v>9502.69</v>
          </cell>
          <cell r="AE4629">
            <v>0</v>
          </cell>
          <cell r="AF4629">
            <v>108292.8</v>
          </cell>
          <cell r="AO4629">
            <v>161.15</v>
          </cell>
          <cell r="AQ4629">
            <v>0.65</v>
          </cell>
          <cell r="AT4629">
            <v>70</v>
          </cell>
          <cell r="AU4629">
            <v>10</v>
          </cell>
          <cell r="AV4629">
            <v>1</v>
          </cell>
          <cell r="BA4629">
            <v>1</v>
          </cell>
          <cell r="BZ4629">
            <v>70</v>
          </cell>
          <cell r="CA4629">
            <v>10</v>
          </cell>
          <cell r="CS4629">
            <v>0</v>
          </cell>
          <cell r="DG4629" t="str">
            <v>*4*168</v>
          </cell>
          <cell r="DI4629" t="str">
            <v>*4*168</v>
          </cell>
        </row>
        <row r="4630">
          <cell r="F4630" t="str">
            <v>5.3-1102-8-3/1</v>
          </cell>
          <cell r="G4630" t="str">
            <v>Уборка слежавшегося снега вручную( S=2507,08 м2*0,1*0,7*0,5=87.75 м2)</v>
          </cell>
          <cell r="H4630" t="str">
            <v>100 м2</v>
          </cell>
          <cell r="I4630">
            <v>0.87749999999999995</v>
          </cell>
          <cell r="S4630">
            <v>55920.83</v>
          </cell>
          <cell r="U4630">
            <v>225.55260000000001</v>
          </cell>
          <cell r="X4630">
            <v>39144.58</v>
          </cell>
          <cell r="Y4630">
            <v>5592.08</v>
          </cell>
          <cell r="AE4630">
            <v>0</v>
          </cell>
          <cell r="AF4630">
            <v>63727.44</v>
          </cell>
          <cell r="AO4630">
            <v>379.33</v>
          </cell>
          <cell r="AQ4630">
            <v>1.53</v>
          </cell>
          <cell r="AT4630">
            <v>70</v>
          </cell>
          <cell r="AU4630">
            <v>10</v>
          </cell>
          <cell r="AV4630">
            <v>1</v>
          </cell>
          <cell r="BA4630">
            <v>1</v>
          </cell>
          <cell r="BZ4630">
            <v>70</v>
          </cell>
          <cell r="CA4630">
            <v>10</v>
          </cell>
          <cell r="CS4630">
            <v>0</v>
          </cell>
          <cell r="DG4630" t="str">
            <v>)*1*168</v>
          </cell>
          <cell r="DI4630" t="str">
            <v>)*1*168</v>
          </cell>
        </row>
        <row r="4631">
          <cell r="F4631" t="str">
            <v>5.3-1102-8-1/1</v>
          </cell>
          <cell r="G4631" t="str">
            <v>Уборка свежевыпавшего снега вручную толщиной слоя до 10 см ( S= 2507,08 м2* 0,1*0,3*0,5 =37.61 м2)</v>
          </cell>
          <cell r="H4631" t="str">
            <v>100 м2</v>
          </cell>
          <cell r="I4631">
            <v>0.37609999999999999</v>
          </cell>
          <cell r="S4631">
            <v>40728.92</v>
          </cell>
          <cell r="U4631">
            <v>164.28048000000001</v>
          </cell>
          <cell r="X4631">
            <v>28510.240000000002</v>
          </cell>
          <cell r="Y4631">
            <v>4072.89</v>
          </cell>
          <cell r="AE4631">
            <v>0</v>
          </cell>
          <cell r="AF4631">
            <v>108292.8</v>
          </cell>
          <cell r="AO4631">
            <v>161.15</v>
          </cell>
          <cell r="AQ4631">
            <v>0.65</v>
          </cell>
          <cell r="AT4631">
            <v>70</v>
          </cell>
          <cell r="AU4631">
            <v>10</v>
          </cell>
          <cell r="AV4631">
            <v>1</v>
          </cell>
          <cell r="BA4631">
            <v>1</v>
          </cell>
          <cell r="BZ4631">
            <v>70</v>
          </cell>
          <cell r="CA4631">
            <v>10</v>
          </cell>
          <cell r="CS4631">
            <v>0</v>
          </cell>
          <cell r="DG4631" t="str">
            <v>*4*168</v>
          </cell>
          <cell r="DI4631" t="str">
            <v>*4*168</v>
          </cell>
        </row>
        <row r="4632">
          <cell r="F4632" t="str">
            <v>5.3-1102-8-2/1</v>
          </cell>
          <cell r="G4632" t="str">
            <v>Уборка свежевыпавшего снега вручную, добавлять на каждые следующие 10 см увеличения толщины слоя</v>
          </cell>
          <cell r="H4632" t="str">
            <v>100 м2</v>
          </cell>
          <cell r="I4632">
            <v>0.37609999999999999</v>
          </cell>
          <cell r="S4632">
            <v>29451.7</v>
          </cell>
          <cell r="U4632">
            <v>118.78742399999999</v>
          </cell>
          <cell r="X4632">
            <v>20616.189999999999</v>
          </cell>
          <cell r="Y4632">
            <v>2945.17</v>
          </cell>
          <cell r="AE4632">
            <v>0</v>
          </cell>
          <cell r="AF4632">
            <v>78308.160000000003</v>
          </cell>
          <cell r="AO4632">
            <v>116.53</v>
          </cell>
          <cell r="AQ4632">
            <v>0.47</v>
          </cell>
          <cell r="AT4632">
            <v>70</v>
          </cell>
          <cell r="AU4632">
            <v>10</v>
          </cell>
          <cell r="AV4632">
            <v>1</v>
          </cell>
          <cell r="BA4632">
            <v>1</v>
          </cell>
          <cell r="BZ4632">
            <v>70</v>
          </cell>
          <cell r="CA4632">
            <v>10</v>
          </cell>
          <cell r="CS4632">
            <v>0</v>
          </cell>
          <cell r="DG4632" t="str">
            <v>*4*168</v>
          </cell>
          <cell r="DI4632" t="str">
            <v>*4*168</v>
          </cell>
        </row>
        <row r="4633">
          <cell r="F4633" t="str">
            <v>5.3-1102-24-1/1</v>
          </cell>
          <cell r="G4633" t="str">
            <v>Уборка свежевыпавшего снега ручной самоходной машиной - ширина захвата 120 см( 20% от 2507,08м2, S= 2507,08 м2 *0,2= 501.42м2 )</v>
          </cell>
          <cell r="H4633" t="str">
            <v>100 м2</v>
          </cell>
          <cell r="I4633">
            <v>5.0141999999999998</v>
          </cell>
          <cell r="Q4633">
            <v>114463.36</v>
          </cell>
          <cell r="R4633">
            <v>303.26</v>
          </cell>
          <cell r="S4633">
            <v>327047.78999999998</v>
          </cell>
          <cell r="U4633">
            <v>1179.3398399999999</v>
          </cell>
          <cell r="X4633">
            <v>228933.45</v>
          </cell>
          <cell r="Y4633">
            <v>32704.78</v>
          </cell>
          <cell r="AE4633">
            <v>60.48</v>
          </cell>
          <cell r="AF4633">
            <v>65224.32</v>
          </cell>
          <cell r="AM4633">
            <v>33.97</v>
          </cell>
          <cell r="AN4633">
            <v>0.09</v>
          </cell>
          <cell r="AO4633">
            <v>97.06</v>
          </cell>
          <cell r="AQ4633">
            <v>0.35</v>
          </cell>
          <cell r="AT4633">
            <v>70</v>
          </cell>
          <cell r="AU4633">
            <v>10</v>
          </cell>
          <cell r="AV4633">
            <v>1</v>
          </cell>
          <cell r="BA4633">
            <v>1</v>
          </cell>
          <cell r="BB4633">
            <v>1</v>
          </cell>
          <cell r="BS4633">
            <v>1</v>
          </cell>
          <cell r="BZ4633">
            <v>70</v>
          </cell>
          <cell r="CA4633">
            <v>10</v>
          </cell>
          <cell r="CS4633">
            <v>60.48</v>
          </cell>
          <cell r="DE4633" t="str">
            <v>*4*168</v>
          </cell>
          <cell r="DF4633" t="str">
            <v>*4*168</v>
          </cell>
          <cell r="DG4633" t="str">
            <v>*4*168</v>
          </cell>
          <cell r="DI4633" t="str">
            <v>*4*168</v>
          </cell>
        </row>
        <row r="4634">
          <cell r="F4634" t="str">
            <v>5.3-1102-9-1/1</v>
          </cell>
          <cell r="G4634" t="str">
            <v>Колка льда на обледеневших покрытиях вручную( S=2507,08 м2*0,1*0,3*0,5=37.61 м2)</v>
          </cell>
          <cell r="H4634" t="str">
            <v>100 м2</v>
          </cell>
          <cell r="I4634">
            <v>0.37609999999999999</v>
          </cell>
          <cell r="S4634">
            <v>75507.100000000006</v>
          </cell>
          <cell r="U4634">
            <v>304.55073599999997</v>
          </cell>
          <cell r="X4634">
            <v>52854.97</v>
          </cell>
          <cell r="Y4634">
            <v>7550.71</v>
          </cell>
          <cell r="AE4634">
            <v>0</v>
          </cell>
          <cell r="AF4634">
            <v>200763.36</v>
          </cell>
          <cell r="AO4634">
            <v>597.51</v>
          </cell>
          <cell r="AQ4634">
            <v>2.41</v>
          </cell>
          <cell r="AT4634">
            <v>70</v>
          </cell>
          <cell r="AU4634">
            <v>10</v>
          </cell>
          <cell r="AV4634">
            <v>1</v>
          </cell>
          <cell r="BA4634">
            <v>1</v>
          </cell>
          <cell r="BZ4634">
            <v>70</v>
          </cell>
          <cell r="CA4634">
            <v>10</v>
          </cell>
          <cell r="CS4634">
            <v>0</v>
          </cell>
          <cell r="DG4634" t="str">
            <v>)*2*168</v>
          </cell>
          <cell r="DI4634" t="str">
            <v>)*2*168</v>
          </cell>
        </row>
        <row r="4635">
          <cell r="F4635" t="str">
            <v>калькуляция</v>
          </cell>
          <cell r="G4635" t="str">
            <v>Посыпка  гранитной крошкой дорожных покрытий средствами малой механизации( расход крошки 100 г/м2)</v>
          </cell>
          <cell r="H4635" t="str">
            <v>м2</v>
          </cell>
          <cell r="I4635">
            <v>1754.96</v>
          </cell>
          <cell r="Q4635">
            <v>389179.93</v>
          </cell>
          <cell r="X4635">
            <v>0</v>
          </cell>
          <cell r="Y4635">
            <v>0</v>
          </cell>
          <cell r="AE4635">
            <v>0</v>
          </cell>
          <cell r="AF4635">
            <v>0</v>
          </cell>
          <cell r="AM4635">
            <v>0.33</v>
          </cell>
          <cell r="AV4635">
            <v>1</v>
          </cell>
          <cell r="BB4635">
            <v>1</v>
          </cell>
          <cell r="BZ4635">
            <v>0</v>
          </cell>
          <cell r="CA4635">
            <v>0</v>
          </cell>
          <cell r="CS4635">
            <v>0</v>
          </cell>
          <cell r="DE4635" t="str">
            <v>*4*168</v>
          </cell>
        </row>
        <row r="4636">
          <cell r="F4636" t="str">
            <v>цена поставщика</v>
          </cell>
          <cell r="G4636" t="str">
            <v>Крошка гранитная</v>
          </cell>
          <cell r="H4636" t="str">
            <v>кг</v>
          </cell>
          <cell r="I4636">
            <v>117933.31200000001</v>
          </cell>
          <cell r="O4636">
            <v>522444.57</v>
          </cell>
          <cell r="X4636">
            <v>0</v>
          </cell>
          <cell r="Y4636">
            <v>0</v>
          </cell>
          <cell r="AE4636">
            <v>0</v>
          </cell>
          <cell r="AF4636">
            <v>0</v>
          </cell>
          <cell r="AK4636">
            <v>4.43</v>
          </cell>
          <cell r="AV4636">
            <v>1</v>
          </cell>
          <cell r="AW4636">
            <v>1</v>
          </cell>
          <cell r="BC4636">
            <v>1</v>
          </cell>
          <cell r="BZ4636">
            <v>0</v>
          </cell>
          <cell r="CA4636">
            <v>0</v>
          </cell>
          <cell r="CS4636">
            <v>0</v>
          </cell>
        </row>
        <row r="4637">
          <cell r="F4637" t="str">
            <v>калькуляция</v>
          </cell>
          <cell r="G4637" t="str">
            <v>Посыпка гранитной крошкой дорожных покрытий вручную( 100г/м2 )</v>
          </cell>
          <cell r="H4637" t="str">
            <v>м2</v>
          </cell>
          <cell r="I4637">
            <v>752.12</v>
          </cell>
          <cell r="S4637">
            <v>1051283.25</v>
          </cell>
          <cell r="X4637">
            <v>0</v>
          </cell>
          <cell r="Y4637">
            <v>0</v>
          </cell>
          <cell r="AE4637">
            <v>0</v>
          </cell>
          <cell r="AF4637">
            <v>1397.76</v>
          </cell>
          <cell r="AO4637">
            <v>2.08</v>
          </cell>
          <cell r="AV4637">
            <v>1</v>
          </cell>
          <cell r="BA4637">
            <v>1</v>
          </cell>
          <cell r="BZ4637">
            <v>0</v>
          </cell>
          <cell r="CA4637">
            <v>0</v>
          </cell>
          <cell r="CS4637">
            <v>0</v>
          </cell>
          <cell r="DG4637" t="str">
            <v>*4*168</v>
          </cell>
        </row>
        <row r="4638">
          <cell r="F4638" t="str">
            <v>цена поставщика</v>
          </cell>
          <cell r="G4638" t="str">
            <v>Крошка гранитная</v>
          </cell>
          <cell r="H4638" t="str">
            <v>кг</v>
          </cell>
          <cell r="I4638">
            <v>50542.464</v>
          </cell>
          <cell r="O4638">
            <v>223903.12</v>
          </cell>
          <cell r="X4638">
            <v>0</v>
          </cell>
          <cell r="Y4638">
            <v>0</v>
          </cell>
          <cell r="AE4638">
            <v>0</v>
          </cell>
          <cell r="AF4638">
            <v>0</v>
          </cell>
          <cell r="AK4638">
            <v>4.43</v>
          </cell>
          <cell r="AV4638">
            <v>1</v>
          </cell>
          <cell r="AW4638">
            <v>1</v>
          </cell>
          <cell r="BC4638">
            <v>1</v>
          </cell>
          <cell r="BZ4638">
            <v>0</v>
          </cell>
          <cell r="CA4638">
            <v>0</v>
          </cell>
          <cell r="CS4638">
            <v>0</v>
          </cell>
        </row>
        <row r="4639">
          <cell r="F4639" t="str">
            <v>5.4-1201-1-1/1</v>
          </cell>
          <cell r="G4639" t="str">
            <v>Сбор случайного мусора по территории</v>
          </cell>
          <cell r="H4639" t="str">
            <v>100 м2</v>
          </cell>
          <cell r="I4639">
            <v>25.070799999999998</v>
          </cell>
          <cell r="P4639">
            <v>22972.880000000001</v>
          </cell>
          <cell r="S4639">
            <v>412845.88</v>
          </cell>
          <cell r="U4639">
            <v>1664.7011199999999</v>
          </cell>
          <cell r="X4639">
            <v>288992.12</v>
          </cell>
          <cell r="Y4639">
            <v>41284.589999999997</v>
          </cell>
          <cell r="AE4639">
            <v>0</v>
          </cell>
          <cell r="AF4639">
            <v>16467.2</v>
          </cell>
          <cell r="AL4639">
            <v>0.69</v>
          </cell>
          <cell r="AO4639">
            <v>12.4</v>
          </cell>
          <cell r="AQ4639">
            <v>0.05</v>
          </cell>
          <cell r="AT4639">
            <v>70</v>
          </cell>
          <cell r="AU4639">
            <v>10</v>
          </cell>
          <cell r="AV4639">
            <v>1</v>
          </cell>
          <cell r="AW4639">
            <v>1</v>
          </cell>
          <cell r="BA4639">
            <v>1</v>
          </cell>
          <cell r="BC4639">
            <v>1</v>
          </cell>
          <cell r="BZ4639">
            <v>70</v>
          </cell>
          <cell r="CA4639">
            <v>10</v>
          </cell>
          <cell r="CS4639">
            <v>0</v>
          </cell>
          <cell r="DD4639" t="str">
            <v>)*4*332</v>
          </cell>
          <cell r="DG4639" t="str">
            <v>)*4*332</v>
          </cell>
          <cell r="DI4639" t="str">
            <v>)*4*332</v>
          </cell>
        </row>
        <row r="4641">
          <cell r="G4641" t="str">
            <v>Содержание плиточного покрытия тротуара из гранитной плитки , пескоуловитель из фибробетона ( S= 2485,6 м2 + 21,48 м2= 2507,08 м2)</v>
          </cell>
        </row>
        <row r="4671">
          <cell r="G4671" t="str">
            <v>Уход за бортовыми камнями</v>
          </cell>
        </row>
        <row r="4675">
          <cell r="F4675" t="str">
            <v>калькуляция</v>
          </cell>
          <cell r="G4675" t="str">
            <v>Уход за бортовыми камнями(  подметание вручную)</v>
          </cell>
          <cell r="H4675" t="str">
            <v>м2</v>
          </cell>
          <cell r="I4675">
            <v>110.64</v>
          </cell>
          <cell r="S4675">
            <v>22499.75</v>
          </cell>
          <cell r="X4675">
            <v>0</v>
          </cell>
          <cell r="Y4675">
            <v>0</v>
          </cell>
          <cell r="AE4675">
            <v>0</v>
          </cell>
          <cell r="AF4675">
            <v>203.36</v>
          </cell>
          <cell r="AO4675">
            <v>1.24</v>
          </cell>
          <cell r="AV4675">
            <v>1</v>
          </cell>
          <cell r="BA4675">
            <v>1</v>
          </cell>
          <cell r="BZ4675">
            <v>0</v>
          </cell>
          <cell r="CA4675">
            <v>0</v>
          </cell>
          <cell r="CS4675">
            <v>0</v>
          </cell>
          <cell r="DG4675" t="str">
            <v>)*1*164</v>
          </cell>
        </row>
        <row r="4676">
          <cell r="F4676" t="str">
            <v>5.3-1102-8-1/1</v>
          </cell>
          <cell r="G4676" t="str">
            <v>Уборка свежевыпавшего снега вручную толщиной слоя до 10 см</v>
          </cell>
          <cell r="H4676" t="str">
            <v>100 м2</v>
          </cell>
          <cell r="I4676">
            <v>1.1064000000000001</v>
          </cell>
          <cell r="S4676">
            <v>119815.15</v>
          </cell>
          <cell r="U4676">
            <v>483.27552000000003</v>
          </cell>
          <cell r="X4676">
            <v>83870.61</v>
          </cell>
          <cell r="Y4676">
            <v>11981.52</v>
          </cell>
          <cell r="AE4676">
            <v>0</v>
          </cell>
          <cell r="AF4676">
            <v>108292.8</v>
          </cell>
          <cell r="AO4676">
            <v>161.15</v>
          </cell>
          <cell r="AQ4676">
            <v>0.65</v>
          </cell>
          <cell r="AT4676">
            <v>70</v>
          </cell>
          <cell r="AU4676">
            <v>10</v>
          </cell>
          <cell r="AV4676">
            <v>1</v>
          </cell>
          <cell r="BA4676">
            <v>1</v>
          </cell>
          <cell r="BZ4676">
            <v>70</v>
          </cell>
          <cell r="CA4676">
            <v>10</v>
          </cell>
          <cell r="CS4676">
            <v>0</v>
          </cell>
          <cell r="DG4676" t="str">
            <v>*4*168</v>
          </cell>
          <cell r="DI4676" t="str">
            <v>*4*168</v>
          </cell>
        </row>
        <row r="4678">
          <cell r="G4678" t="str">
            <v>Уход за бортовыми камнями</v>
          </cell>
        </row>
        <row r="4708">
          <cell r="G4708" t="str">
            <v>Уход за покрытием пандуса</v>
          </cell>
        </row>
        <row r="4712">
          <cell r="F4712" t="str">
            <v>калькуляция</v>
          </cell>
          <cell r="G4712" t="str">
            <v>Подметание дорожек  вручную ( S=30м2)</v>
          </cell>
          <cell r="H4712" t="str">
            <v>м2</v>
          </cell>
          <cell r="I4712">
            <v>30</v>
          </cell>
          <cell r="S4712">
            <v>25977.599999999999</v>
          </cell>
          <cell r="X4712">
            <v>0</v>
          </cell>
          <cell r="Y4712">
            <v>0</v>
          </cell>
          <cell r="AE4712">
            <v>0</v>
          </cell>
          <cell r="AF4712">
            <v>865.92</v>
          </cell>
          <cell r="AO4712">
            <v>1.32</v>
          </cell>
          <cell r="AV4712">
            <v>1</v>
          </cell>
          <cell r="BA4712">
            <v>1</v>
          </cell>
          <cell r="BZ4712">
            <v>0</v>
          </cell>
          <cell r="CA4712">
            <v>0</v>
          </cell>
          <cell r="CS4712">
            <v>0</v>
          </cell>
          <cell r="DG4712" t="str">
            <v>)*4*164</v>
          </cell>
        </row>
        <row r="4713">
          <cell r="F4713" t="str">
            <v>5.3-1102-8-1/1</v>
          </cell>
          <cell r="G4713" t="str">
            <v>Уборка свежевыпавшего снега вручную толщиной слоя до 10 см ( S=30 м2*0,7*0,5=10,5 м2 )</v>
          </cell>
          <cell r="H4713" t="str">
            <v>100 м2</v>
          </cell>
          <cell r="I4713">
            <v>0.105</v>
          </cell>
          <cell r="S4713">
            <v>11370.74</v>
          </cell>
          <cell r="U4713">
            <v>45.863999999999997</v>
          </cell>
          <cell r="X4713">
            <v>7959.52</v>
          </cell>
          <cell r="Y4713">
            <v>1137.07</v>
          </cell>
          <cell r="AE4713">
            <v>0</v>
          </cell>
          <cell r="AF4713">
            <v>108292.8</v>
          </cell>
          <cell r="AO4713">
            <v>161.15</v>
          </cell>
          <cell r="AQ4713">
            <v>0.65</v>
          </cell>
          <cell r="AT4713">
            <v>70</v>
          </cell>
          <cell r="AU4713">
            <v>10</v>
          </cell>
          <cell r="AV4713">
            <v>1</v>
          </cell>
          <cell r="BA4713">
            <v>1</v>
          </cell>
          <cell r="BZ4713">
            <v>70</v>
          </cell>
          <cell r="CA4713">
            <v>10</v>
          </cell>
          <cell r="CS4713">
            <v>0</v>
          </cell>
          <cell r="DG4713" t="str">
            <v>*4*168</v>
          </cell>
          <cell r="DI4713" t="str">
            <v>*4*168</v>
          </cell>
        </row>
        <row r="4714">
          <cell r="F4714" t="str">
            <v>5.3-1102-8-3/1</v>
          </cell>
          <cell r="G4714" t="str">
            <v>Уборка слежавшегося снега вручную ( S= 30м2*0,7*0,5=10,5 м2)</v>
          </cell>
          <cell r="H4714" t="str">
            <v>100 м2</v>
          </cell>
          <cell r="I4714">
            <v>0.105</v>
          </cell>
          <cell r="S4714">
            <v>6691.38</v>
          </cell>
          <cell r="U4714">
            <v>26.9892</v>
          </cell>
          <cell r="X4714">
            <v>4683.97</v>
          </cell>
          <cell r="Y4714">
            <v>669.14</v>
          </cell>
          <cell r="AE4714">
            <v>0</v>
          </cell>
          <cell r="AF4714">
            <v>63727.44</v>
          </cell>
          <cell r="AO4714">
            <v>379.33</v>
          </cell>
          <cell r="AQ4714">
            <v>1.53</v>
          </cell>
          <cell r="AT4714">
            <v>70</v>
          </cell>
          <cell r="AU4714">
            <v>10</v>
          </cell>
          <cell r="AV4714">
            <v>1</v>
          </cell>
          <cell r="BA4714">
            <v>1</v>
          </cell>
          <cell r="BZ4714">
            <v>70</v>
          </cell>
          <cell r="CA4714">
            <v>10</v>
          </cell>
          <cell r="CS4714">
            <v>0</v>
          </cell>
          <cell r="DG4714" t="str">
            <v>)*1*168</v>
          </cell>
          <cell r="DI4714" t="str">
            <v>)*1*168</v>
          </cell>
        </row>
        <row r="4715">
          <cell r="F4715" t="str">
            <v>5.3-1102-8-1/1</v>
          </cell>
          <cell r="G4715" t="str">
            <v>Уборка свежевыпавшего снега вручную толщиной слоя до 10 см ( S= 30 м2*0,3*0,5=4,5м2)</v>
          </cell>
          <cell r="H4715" t="str">
            <v>100 м2</v>
          </cell>
          <cell r="I4715">
            <v>4.4999999999999998E-2</v>
          </cell>
          <cell r="S4715">
            <v>4873.18</v>
          </cell>
          <cell r="U4715">
            <v>19.655999999999999</v>
          </cell>
          <cell r="X4715">
            <v>3411.23</v>
          </cell>
          <cell r="Y4715">
            <v>487.32</v>
          </cell>
          <cell r="AE4715">
            <v>0</v>
          </cell>
          <cell r="AF4715">
            <v>108292.8</v>
          </cell>
          <cell r="AO4715">
            <v>161.15</v>
          </cell>
          <cell r="AQ4715">
            <v>0.65</v>
          </cell>
          <cell r="AT4715">
            <v>70</v>
          </cell>
          <cell r="AU4715">
            <v>10</v>
          </cell>
          <cell r="AV4715">
            <v>1</v>
          </cell>
          <cell r="BA4715">
            <v>1</v>
          </cell>
          <cell r="BZ4715">
            <v>70</v>
          </cell>
          <cell r="CA4715">
            <v>10</v>
          </cell>
          <cell r="CS4715">
            <v>0</v>
          </cell>
          <cell r="DG4715" t="str">
            <v>*4*168</v>
          </cell>
          <cell r="DI4715" t="str">
            <v>*4*168</v>
          </cell>
        </row>
        <row r="4716">
          <cell r="F4716" t="str">
            <v>5.3-1102-8-2/1</v>
          </cell>
          <cell r="G4716" t="str">
            <v>Уборка свежевыпавшего снега вручную, добавлять на каждые следующие 10 см увеличения толщины слоя</v>
          </cell>
          <cell r="H4716" t="str">
            <v>100 м2</v>
          </cell>
          <cell r="I4716">
            <v>4.4999999999999998E-2</v>
          </cell>
          <cell r="S4716">
            <v>3523.87</v>
          </cell>
          <cell r="U4716">
            <v>14.212799999999998</v>
          </cell>
          <cell r="X4716">
            <v>2466.71</v>
          </cell>
          <cell r="Y4716">
            <v>352.39</v>
          </cell>
          <cell r="AE4716">
            <v>0</v>
          </cell>
          <cell r="AF4716">
            <v>78308.160000000003</v>
          </cell>
          <cell r="AO4716">
            <v>116.53</v>
          </cell>
          <cell r="AQ4716">
            <v>0.47</v>
          </cell>
          <cell r="AT4716">
            <v>70</v>
          </cell>
          <cell r="AU4716">
            <v>10</v>
          </cell>
          <cell r="AV4716">
            <v>1</v>
          </cell>
          <cell r="BA4716">
            <v>1</v>
          </cell>
          <cell r="BZ4716">
            <v>70</v>
          </cell>
          <cell r="CA4716">
            <v>10</v>
          </cell>
          <cell r="CS4716">
            <v>0</v>
          </cell>
          <cell r="DG4716" t="str">
            <v>*4*168</v>
          </cell>
          <cell r="DI4716" t="str">
            <v>*4*168</v>
          </cell>
        </row>
        <row r="4717">
          <cell r="F4717" t="str">
            <v>5.3-1102-9-1/1</v>
          </cell>
          <cell r="G4717" t="str">
            <v>Колка льда на обледеневших покрытиях вручную ( S= 30 м2*0,3*0,5=4,5 м2 )</v>
          </cell>
          <cell r="H4717" t="str">
            <v>100 м2</v>
          </cell>
          <cell r="I4717">
            <v>4.4999999999999998E-2</v>
          </cell>
          <cell r="S4717">
            <v>9034.35</v>
          </cell>
          <cell r="U4717">
            <v>36.4392</v>
          </cell>
          <cell r="X4717">
            <v>6324.05</v>
          </cell>
          <cell r="Y4717">
            <v>903.44</v>
          </cell>
          <cell r="AE4717">
            <v>0</v>
          </cell>
          <cell r="AF4717">
            <v>200763.36</v>
          </cell>
          <cell r="AO4717">
            <v>597.51</v>
          </cell>
          <cell r="AQ4717">
            <v>2.41</v>
          </cell>
          <cell r="AT4717">
            <v>70</v>
          </cell>
          <cell r="AU4717">
            <v>10</v>
          </cell>
          <cell r="AV4717">
            <v>1</v>
          </cell>
          <cell r="BA4717">
            <v>1</v>
          </cell>
          <cell r="BZ4717">
            <v>70</v>
          </cell>
          <cell r="CA4717">
            <v>10</v>
          </cell>
          <cell r="CS4717">
            <v>0</v>
          </cell>
          <cell r="DG4717" t="str">
            <v>)*2*168</v>
          </cell>
          <cell r="DI4717" t="str">
            <v>)*2*168</v>
          </cell>
        </row>
        <row r="4718">
          <cell r="F4718" t="str">
            <v>калькуляция</v>
          </cell>
          <cell r="G4718" t="str">
            <v>Посыпка  гранитной крошкой дорожных покрытий вручную( 100г/м2 )</v>
          </cell>
          <cell r="H4718" t="str">
            <v>м2</v>
          </cell>
          <cell r="I4718">
            <v>30</v>
          </cell>
          <cell r="S4718">
            <v>41932.800000000003</v>
          </cell>
          <cell r="X4718">
            <v>0</v>
          </cell>
          <cell r="Y4718">
            <v>0</v>
          </cell>
          <cell r="AE4718">
            <v>0</v>
          </cell>
          <cell r="AF4718">
            <v>1397.76</v>
          </cell>
          <cell r="AO4718">
            <v>2.08</v>
          </cell>
          <cell r="AV4718">
            <v>1</v>
          </cell>
          <cell r="BA4718">
            <v>1</v>
          </cell>
          <cell r="BZ4718">
            <v>0</v>
          </cell>
          <cell r="CA4718">
            <v>0</v>
          </cell>
          <cell r="CS4718">
            <v>0</v>
          </cell>
          <cell r="DG4718" t="str">
            <v>*4*168</v>
          </cell>
        </row>
        <row r="4719">
          <cell r="F4719" t="str">
            <v>цена поставщика</v>
          </cell>
          <cell r="G4719" t="str">
            <v>Крошка гранитная</v>
          </cell>
          <cell r="H4719" t="str">
            <v>кг</v>
          </cell>
          <cell r="I4719">
            <v>2016</v>
          </cell>
          <cell r="O4719">
            <v>8930.8799999999992</v>
          </cell>
          <cell r="X4719">
            <v>0</v>
          </cell>
          <cell r="Y4719">
            <v>0</v>
          </cell>
          <cell r="AE4719">
            <v>0</v>
          </cell>
          <cell r="AF4719">
            <v>0</v>
          </cell>
          <cell r="AK4719">
            <v>4.43</v>
          </cell>
          <cell r="AV4719">
            <v>1</v>
          </cell>
          <cell r="AW4719">
            <v>1</v>
          </cell>
          <cell r="BC4719">
            <v>1</v>
          </cell>
          <cell r="BZ4719">
            <v>0</v>
          </cell>
          <cell r="CA4719">
            <v>0</v>
          </cell>
          <cell r="CS4719">
            <v>0</v>
          </cell>
        </row>
        <row r="4720">
          <cell r="F4720" t="str">
            <v>5.4-1201-1-1/1</v>
          </cell>
          <cell r="G4720" t="str">
            <v>Сбор случайного мусора по территории</v>
          </cell>
          <cell r="H4720" t="str">
            <v>100 м2</v>
          </cell>
          <cell r="I4720">
            <v>0.3</v>
          </cell>
          <cell r="P4720">
            <v>274.89999999999998</v>
          </cell>
          <cell r="S4720">
            <v>4940.16</v>
          </cell>
          <cell r="U4720">
            <v>19.920000000000002</v>
          </cell>
          <cell r="X4720">
            <v>3458.11</v>
          </cell>
          <cell r="Y4720">
            <v>494.02</v>
          </cell>
          <cell r="AE4720">
            <v>0</v>
          </cell>
          <cell r="AF4720">
            <v>16467.2</v>
          </cell>
          <cell r="AL4720">
            <v>0.69</v>
          </cell>
          <cell r="AO4720">
            <v>12.4</v>
          </cell>
          <cell r="AQ4720">
            <v>0.05</v>
          </cell>
          <cell r="AT4720">
            <v>70</v>
          </cell>
          <cell r="AU4720">
            <v>10</v>
          </cell>
          <cell r="AV4720">
            <v>1</v>
          </cell>
          <cell r="AW4720">
            <v>1</v>
          </cell>
          <cell r="BA4720">
            <v>1</v>
          </cell>
          <cell r="BC4720">
            <v>1</v>
          </cell>
          <cell r="BZ4720">
            <v>70</v>
          </cell>
          <cell r="CA4720">
            <v>10</v>
          </cell>
          <cell r="CS4720">
            <v>0</v>
          </cell>
          <cell r="DD4720" t="str">
            <v>)*4*332</v>
          </cell>
          <cell r="DG4720" t="str">
            <v>)*4*332</v>
          </cell>
          <cell r="DI4720" t="str">
            <v>)*4*332</v>
          </cell>
        </row>
        <row r="4722">
          <cell r="G4722" t="str">
            <v>Уход за покрытием пандуса</v>
          </cell>
        </row>
        <row r="4752">
          <cell r="G4752" t="str">
            <v>Уход за подпорными стенками</v>
          </cell>
        </row>
        <row r="4756">
          <cell r="F4756" t="str">
            <v>калькуляция</v>
          </cell>
          <cell r="G4756" t="str">
            <v>Очитка от снега подпорных стенок</v>
          </cell>
          <cell r="H4756" t="str">
            <v>м2</v>
          </cell>
          <cell r="I4756">
            <v>148</v>
          </cell>
          <cell r="S4756">
            <v>5106</v>
          </cell>
          <cell r="X4756">
            <v>0</v>
          </cell>
          <cell r="Y4756">
            <v>0</v>
          </cell>
          <cell r="AE4756">
            <v>0</v>
          </cell>
          <cell r="AF4756">
            <v>34.5</v>
          </cell>
          <cell r="AO4756">
            <v>3.45</v>
          </cell>
          <cell r="AV4756">
            <v>1</v>
          </cell>
          <cell r="BA4756">
            <v>1</v>
          </cell>
          <cell r="BZ4756">
            <v>0</v>
          </cell>
          <cell r="CA4756">
            <v>0</v>
          </cell>
          <cell r="CS4756">
            <v>0</v>
          </cell>
          <cell r="DG4756" t="str">
            <v>)*1*10</v>
          </cell>
        </row>
        <row r="4758">
          <cell r="G4758" t="str">
            <v>Уход за подпорными стенками</v>
          </cell>
        </row>
        <row r="4788">
          <cell r="G4788" t="str">
            <v>Уход за металлическим ограждением</v>
          </cell>
        </row>
        <row r="4792">
          <cell r="F4792" t="str">
            <v>1.9-1102-1-1/1</v>
          </cell>
          <cell r="G4792" t="str">
            <v>Очистка от снега перил и поручней</v>
          </cell>
          <cell r="H4792" t="str">
            <v>100 м</v>
          </cell>
          <cell r="I4792">
            <v>2.16</v>
          </cell>
          <cell r="S4792">
            <v>53982.03</v>
          </cell>
          <cell r="U4792">
            <v>217.72800000000001</v>
          </cell>
          <cell r="X4792">
            <v>37787.42</v>
          </cell>
          <cell r="Y4792">
            <v>5398.2</v>
          </cell>
          <cell r="AE4792">
            <v>0</v>
          </cell>
          <cell r="AF4792">
            <v>24991.68</v>
          </cell>
          <cell r="AO4792">
            <v>148.76</v>
          </cell>
          <cell r="AQ4792">
            <v>0.6</v>
          </cell>
          <cell r="AT4792">
            <v>70</v>
          </cell>
          <cell r="AU4792">
            <v>10</v>
          </cell>
          <cell r="AV4792">
            <v>1</v>
          </cell>
          <cell r="BA4792">
            <v>1</v>
          </cell>
          <cell r="BZ4792">
            <v>70</v>
          </cell>
          <cell r="CA4792">
            <v>10</v>
          </cell>
          <cell r="CS4792">
            <v>0</v>
          </cell>
          <cell r="DG4792" t="str">
            <v>)*1*168</v>
          </cell>
          <cell r="DI4792" t="str">
            <v>)*1*168</v>
          </cell>
        </row>
        <row r="4794">
          <cell r="G4794" t="str">
            <v>Уход за металлическим ограждением</v>
          </cell>
        </row>
        <row r="4824">
          <cell r="G4824" t="str">
            <v>ул. Варварка</v>
          </cell>
        </row>
        <row r="4854">
          <cell r="G4854" t="str">
            <v>Содержание твердых покрытий Москворецкой набережной</v>
          </cell>
        </row>
        <row r="4858">
          <cell r="G4858" t="str">
            <v>Уход за бортовыми камнями</v>
          </cell>
        </row>
        <row r="4862">
          <cell r="F4862" t="str">
            <v>калькуляция</v>
          </cell>
          <cell r="G4862" t="str">
            <v>Уход за бортовыми камнями(  подметание вручную)</v>
          </cell>
          <cell r="H4862" t="str">
            <v>м2</v>
          </cell>
          <cell r="I4862">
            <v>185.51</v>
          </cell>
          <cell r="S4862">
            <v>37725.31</v>
          </cell>
          <cell r="X4862">
            <v>0</v>
          </cell>
          <cell r="Y4862">
            <v>0</v>
          </cell>
          <cell r="AE4862">
            <v>0</v>
          </cell>
          <cell r="AF4862">
            <v>203.36</v>
          </cell>
          <cell r="AO4862">
            <v>1.24</v>
          </cell>
          <cell r="AV4862">
            <v>1</v>
          </cell>
          <cell r="BA4862">
            <v>1</v>
          </cell>
          <cell r="BZ4862">
            <v>0</v>
          </cell>
          <cell r="CA4862">
            <v>0</v>
          </cell>
          <cell r="CS4862">
            <v>0</v>
          </cell>
          <cell r="DG4862" t="str">
            <v>)*1*164</v>
          </cell>
        </row>
        <row r="4863">
          <cell r="F4863" t="str">
            <v>5.3-1102-8-1/1</v>
          </cell>
          <cell r="G4863" t="str">
            <v>Уборка свежевыпавшего снега вручную толщиной слоя до 10 см</v>
          </cell>
          <cell r="H4863" t="str">
            <v>100 м2</v>
          </cell>
          <cell r="I4863">
            <v>1.8551</v>
          </cell>
          <cell r="S4863">
            <v>200893.97</v>
          </cell>
          <cell r="U4863">
            <v>810.30768</v>
          </cell>
          <cell r="X4863">
            <v>140625.78</v>
          </cell>
          <cell r="Y4863">
            <v>20089.400000000001</v>
          </cell>
          <cell r="AE4863">
            <v>0</v>
          </cell>
          <cell r="AF4863">
            <v>108292.8</v>
          </cell>
          <cell r="AO4863">
            <v>161.15</v>
          </cell>
          <cell r="AQ4863">
            <v>0.65</v>
          </cell>
          <cell r="AT4863">
            <v>70</v>
          </cell>
          <cell r="AU4863">
            <v>10</v>
          </cell>
          <cell r="AV4863">
            <v>1</v>
          </cell>
          <cell r="BA4863">
            <v>1</v>
          </cell>
          <cell r="BZ4863">
            <v>70</v>
          </cell>
          <cell r="CA4863">
            <v>10</v>
          </cell>
          <cell r="CS4863">
            <v>0</v>
          </cell>
          <cell r="DG4863" t="str">
            <v>)*4*168</v>
          </cell>
          <cell r="DI4863" t="str">
            <v>)*4*168</v>
          </cell>
        </row>
        <row r="4865">
          <cell r="G4865" t="str">
            <v>Уход за бортовыми камнями</v>
          </cell>
        </row>
        <row r="4895">
          <cell r="G4895" t="str">
            <v>Уход за покрытием пандуса</v>
          </cell>
        </row>
        <row r="4899">
          <cell r="F4899" t="str">
            <v>калькуляция</v>
          </cell>
          <cell r="G4899" t="str">
            <v>Подметание дорожек  вручную ( S=31,34м2)</v>
          </cell>
          <cell r="H4899" t="str">
            <v>м2</v>
          </cell>
          <cell r="I4899">
            <v>31.34</v>
          </cell>
          <cell r="S4899">
            <v>27137.93</v>
          </cell>
          <cell r="X4899">
            <v>0</v>
          </cell>
          <cell r="Y4899">
            <v>0</v>
          </cell>
          <cell r="AE4899">
            <v>0</v>
          </cell>
          <cell r="AF4899">
            <v>865.92</v>
          </cell>
          <cell r="AO4899">
            <v>1.32</v>
          </cell>
          <cell r="AV4899">
            <v>1</v>
          </cell>
          <cell r="BA4899">
            <v>1</v>
          </cell>
          <cell r="BZ4899">
            <v>0</v>
          </cell>
          <cell r="CA4899">
            <v>0</v>
          </cell>
          <cell r="CS4899">
            <v>0</v>
          </cell>
          <cell r="DG4899" t="str">
            <v>)*4*164</v>
          </cell>
        </row>
        <row r="4900">
          <cell r="F4900" t="str">
            <v>5.3-1102-8-1/1</v>
          </cell>
          <cell r="G4900" t="str">
            <v>Уборка свежевыпавшего снега вручную толщиной слоя до 10 см ( S=31,34 м2*0,7*0,5=10,97 м2 )</v>
          </cell>
          <cell r="H4900" t="str">
            <v>100 м2</v>
          </cell>
          <cell r="I4900">
            <v>0.10970000000000001</v>
          </cell>
          <cell r="S4900">
            <v>11879.72</v>
          </cell>
          <cell r="U4900">
            <v>47.916960000000003</v>
          </cell>
          <cell r="X4900">
            <v>8315.7999999999993</v>
          </cell>
          <cell r="Y4900">
            <v>1187.97</v>
          </cell>
          <cell r="AE4900">
            <v>0</v>
          </cell>
          <cell r="AF4900">
            <v>108292.8</v>
          </cell>
          <cell r="AO4900">
            <v>161.15</v>
          </cell>
          <cell r="AQ4900">
            <v>0.65</v>
          </cell>
          <cell r="AT4900">
            <v>70</v>
          </cell>
          <cell r="AU4900">
            <v>10</v>
          </cell>
          <cell r="AV4900">
            <v>1</v>
          </cell>
          <cell r="BA4900">
            <v>1</v>
          </cell>
          <cell r="BZ4900">
            <v>70</v>
          </cell>
          <cell r="CA4900">
            <v>10</v>
          </cell>
          <cell r="CS4900">
            <v>0</v>
          </cell>
          <cell r="DG4900" t="str">
            <v>*4*168</v>
          </cell>
          <cell r="DI4900" t="str">
            <v>*4*168</v>
          </cell>
        </row>
        <row r="4901">
          <cell r="F4901" t="str">
            <v>5.3-1102-8-3/1</v>
          </cell>
          <cell r="G4901" t="str">
            <v>Уборка слежавшегося снега вручную ( S= 31,34м2*0,7*0,5=10,97 м2)</v>
          </cell>
          <cell r="H4901" t="str">
            <v>100 м2</v>
          </cell>
          <cell r="I4901">
            <v>0.10970000000000001</v>
          </cell>
          <cell r="S4901">
            <v>6990.9</v>
          </cell>
          <cell r="U4901">
            <v>28.197288000000004</v>
          </cell>
          <cell r="X4901">
            <v>4893.63</v>
          </cell>
          <cell r="Y4901">
            <v>699.09</v>
          </cell>
          <cell r="AE4901">
            <v>0</v>
          </cell>
          <cell r="AF4901">
            <v>63727.44</v>
          </cell>
          <cell r="AO4901">
            <v>379.33</v>
          </cell>
          <cell r="AQ4901">
            <v>1.53</v>
          </cell>
          <cell r="AT4901">
            <v>70</v>
          </cell>
          <cell r="AU4901">
            <v>10</v>
          </cell>
          <cell r="AV4901">
            <v>1</v>
          </cell>
          <cell r="BA4901">
            <v>1</v>
          </cell>
          <cell r="BZ4901">
            <v>70</v>
          </cell>
          <cell r="CA4901">
            <v>10</v>
          </cell>
          <cell r="CS4901">
            <v>0</v>
          </cell>
          <cell r="DG4901" t="str">
            <v>)*1*168</v>
          </cell>
          <cell r="DI4901" t="str">
            <v>)*1*168</v>
          </cell>
        </row>
        <row r="4902">
          <cell r="F4902" t="str">
            <v>5.3-1102-8-1/1</v>
          </cell>
          <cell r="G4902" t="str">
            <v>Уборка свежевыпавшего снега вручную толщиной слоя до 10 см ( S= 31,34 м2*0,3*0,5=4,70м2)</v>
          </cell>
          <cell r="H4902" t="str">
            <v>100 м2</v>
          </cell>
          <cell r="I4902">
            <v>4.7E-2</v>
          </cell>
          <cell r="S4902">
            <v>5089.76</v>
          </cell>
          <cell r="U4902">
            <v>20.529600000000002</v>
          </cell>
          <cell r="X4902">
            <v>3562.83</v>
          </cell>
          <cell r="Y4902">
            <v>508.98</v>
          </cell>
          <cell r="AE4902">
            <v>0</v>
          </cell>
          <cell r="AF4902">
            <v>108292.8</v>
          </cell>
          <cell r="AO4902">
            <v>161.15</v>
          </cell>
          <cell r="AQ4902">
            <v>0.65</v>
          </cell>
          <cell r="AT4902">
            <v>70</v>
          </cell>
          <cell r="AU4902">
            <v>10</v>
          </cell>
          <cell r="AV4902">
            <v>1</v>
          </cell>
          <cell r="BA4902">
            <v>1</v>
          </cell>
          <cell r="BZ4902">
            <v>70</v>
          </cell>
          <cell r="CA4902">
            <v>10</v>
          </cell>
          <cell r="CS4902">
            <v>0</v>
          </cell>
          <cell r="DG4902" t="str">
            <v>*4*168</v>
          </cell>
          <cell r="DI4902" t="str">
            <v>*4*168</v>
          </cell>
        </row>
        <row r="4903">
          <cell r="F4903" t="str">
            <v>5.3-1102-8-2/1</v>
          </cell>
          <cell r="G4903" t="str">
            <v>Уборка свежевыпавшего снега вручную, добавлять на каждые следующие 10 см увеличения толщины слоя</v>
          </cell>
          <cell r="H4903" t="str">
            <v>100 м2</v>
          </cell>
          <cell r="I4903">
            <v>4.7E-2</v>
          </cell>
          <cell r="S4903">
            <v>3680.48</v>
          </cell>
          <cell r="U4903">
            <v>14.844479999999999</v>
          </cell>
          <cell r="X4903">
            <v>2576.34</v>
          </cell>
          <cell r="Y4903">
            <v>368.05</v>
          </cell>
          <cell r="AE4903">
            <v>0</v>
          </cell>
          <cell r="AF4903">
            <v>78308.160000000003</v>
          </cell>
          <cell r="AO4903">
            <v>116.53</v>
          </cell>
          <cell r="AQ4903">
            <v>0.47</v>
          </cell>
          <cell r="AT4903">
            <v>70</v>
          </cell>
          <cell r="AU4903">
            <v>10</v>
          </cell>
          <cell r="AV4903">
            <v>1</v>
          </cell>
          <cell r="BA4903">
            <v>1</v>
          </cell>
          <cell r="BZ4903">
            <v>70</v>
          </cell>
          <cell r="CA4903">
            <v>10</v>
          </cell>
          <cell r="CS4903">
            <v>0</v>
          </cell>
          <cell r="DG4903" t="str">
            <v>*4*168</v>
          </cell>
          <cell r="DI4903" t="str">
            <v>*4*168</v>
          </cell>
        </row>
        <row r="4904">
          <cell r="F4904" t="str">
            <v>5.3-1102-9-1/1</v>
          </cell>
          <cell r="G4904" t="str">
            <v>Колка льда на обледеневших покрытиях вручную ( S= 31,34 м2*0,3*0,5=4,7 м2 )</v>
          </cell>
          <cell r="H4904" t="str">
            <v>100 м2</v>
          </cell>
          <cell r="I4904">
            <v>4.7E-2</v>
          </cell>
          <cell r="S4904">
            <v>9435.8799999999992</v>
          </cell>
          <cell r="U4904">
            <v>38.058720000000001</v>
          </cell>
          <cell r="X4904">
            <v>6605.12</v>
          </cell>
          <cell r="Y4904">
            <v>943.59</v>
          </cell>
          <cell r="AE4904">
            <v>0</v>
          </cell>
          <cell r="AF4904">
            <v>200763.36</v>
          </cell>
          <cell r="AO4904">
            <v>597.51</v>
          </cell>
          <cell r="AQ4904">
            <v>2.41</v>
          </cell>
          <cell r="AT4904">
            <v>70</v>
          </cell>
          <cell r="AU4904">
            <v>10</v>
          </cell>
          <cell r="AV4904">
            <v>1</v>
          </cell>
          <cell r="BA4904">
            <v>1</v>
          </cell>
          <cell r="BZ4904">
            <v>70</v>
          </cell>
          <cell r="CA4904">
            <v>10</v>
          </cell>
          <cell r="CS4904">
            <v>0</v>
          </cell>
          <cell r="DG4904" t="str">
            <v>)*2*168</v>
          </cell>
          <cell r="DI4904" t="str">
            <v>)*2*168</v>
          </cell>
        </row>
        <row r="4905">
          <cell r="F4905" t="str">
            <v>калькуляция</v>
          </cell>
          <cell r="G4905" t="str">
            <v>Посыпка  гранитной крошкой дорожных покрытий вручную( 100г/м2 )</v>
          </cell>
          <cell r="H4905" t="str">
            <v>м2</v>
          </cell>
          <cell r="I4905">
            <v>31.34</v>
          </cell>
          <cell r="S4905">
            <v>43805.8</v>
          </cell>
          <cell r="X4905">
            <v>0</v>
          </cell>
          <cell r="Y4905">
            <v>0</v>
          </cell>
          <cell r="AE4905">
            <v>0</v>
          </cell>
          <cell r="AF4905">
            <v>1397.76</v>
          </cell>
          <cell r="AO4905">
            <v>2.08</v>
          </cell>
          <cell r="AV4905">
            <v>1</v>
          </cell>
          <cell r="BA4905">
            <v>1</v>
          </cell>
          <cell r="BZ4905">
            <v>0</v>
          </cell>
          <cell r="CA4905">
            <v>0</v>
          </cell>
          <cell r="CS4905">
            <v>0</v>
          </cell>
          <cell r="DG4905" t="str">
            <v>*4*168</v>
          </cell>
        </row>
        <row r="4906">
          <cell r="F4906" t="str">
            <v>цена поставщика</v>
          </cell>
          <cell r="G4906" t="str">
            <v>Крошка гранитная</v>
          </cell>
          <cell r="H4906" t="str">
            <v>кг</v>
          </cell>
          <cell r="I4906">
            <v>2106.0479999999998</v>
          </cell>
          <cell r="O4906">
            <v>9329.7900000000009</v>
          </cell>
          <cell r="X4906">
            <v>0</v>
          </cell>
          <cell r="Y4906">
            <v>0</v>
          </cell>
          <cell r="AE4906">
            <v>0</v>
          </cell>
          <cell r="AF4906">
            <v>0</v>
          </cell>
          <cell r="AK4906">
            <v>4.43</v>
          </cell>
          <cell r="AV4906">
            <v>1</v>
          </cell>
          <cell r="AW4906">
            <v>1</v>
          </cell>
          <cell r="BC4906">
            <v>1</v>
          </cell>
          <cell r="BZ4906">
            <v>0</v>
          </cell>
          <cell r="CA4906">
            <v>0</v>
          </cell>
          <cell r="CS4906">
            <v>0</v>
          </cell>
        </row>
        <row r="4907">
          <cell r="F4907" t="str">
            <v>5.4-1201-1-1/1</v>
          </cell>
          <cell r="G4907" t="str">
            <v>Сбор случайного мусора по территории</v>
          </cell>
          <cell r="H4907" t="str">
            <v>100 м2</v>
          </cell>
          <cell r="I4907">
            <v>0.31340000000000001</v>
          </cell>
          <cell r="P4907">
            <v>287.17</v>
          </cell>
          <cell r="S4907">
            <v>5160.82</v>
          </cell>
          <cell r="U4907">
            <v>20.809760000000004</v>
          </cell>
          <cell r="X4907">
            <v>3612.57</v>
          </cell>
          <cell r="Y4907">
            <v>516.08000000000004</v>
          </cell>
          <cell r="AE4907">
            <v>0</v>
          </cell>
          <cell r="AF4907">
            <v>16467.2</v>
          </cell>
          <cell r="AL4907">
            <v>0.69</v>
          </cell>
          <cell r="AO4907">
            <v>12.4</v>
          </cell>
          <cell r="AQ4907">
            <v>0.05</v>
          </cell>
          <cell r="AT4907">
            <v>70</v>
          </cell>
          <cell r="AU4907">
            <v>10</v>
          </cell>
          <cell r="AV4907">
            <v>1</v>
          </cell>
          <cell r="AW4907">
            <v>1</v>
          </cell>
          <cell r="BA4907">
            <v>1</v>
          </cell>
          <cell r="BC4907">
            <v>1</v>
          </cell>
          <cell r="BZ4907">
            <v>70</v>
          </cell>
          <cell r="CA4907">
            <v>10</v>
          </cell>
          <cell r="CS4907">
            <v>0</v>
          </cell>
          <cell r="DD4907" t="str">
            <v>)*4*332</v>
          </cell>
          <cell r="DG4907" t="str">
            <v>)*4*332</v>
          </cell>
          <cell r="DI4907" t="str">
            <v>)*4*332</v>
          </cell>
        </row>
        <row r="4909">
          <cell r="G4909" t="str">
            <v>Уход за покрытием пандуса</v>
          </cell>
        </row>
        <row r="4939">
          <cell r="G4939" t="str">
            <v>Содержание твердых покрытий Москворецкой набережной</v>
          </cell>
        </row>
        <row r="4969">
          <cell r="G4969" t="str">
            <v>"Патриаршее подворье"</v>
          </cell>
        </row>
        <row r="4973">
          <cell r="G4973" t="str">
            <v>Содержание лестниц</v>
          </cell>
        </row>
        <row r="4977">
          <cell r="F4977" t="str">
            <v>калькуляция</v>
          </cell>
          <cell r="G4977" t="str">
            <v>Подметание лестницы</v>
          </cell>
          <cell r="H4977" t="str">
            <v>м2</v>
          </cell>
          <cell r="I4977">
            <v>88.7</v>
          </cell>
          <cell r="S4977">
            <v>112883.17</v>
          </cell>
          <cell r="X4977">
            <v>0</v>
          </cell>
          <cell r="Y4977">
            <v>0</v>
          </cell>
          <cell r="AE4977">
            <v>0</v>
          </cell>
          <cell r="AF4977">
            <v>1272.6400000000001</v>
          </cell>
          <cell r="AO4977">
            <v>1.94</v>
          </cell>
          <cell r="AV4977">
            <v>1</v>
          </cell>
          <cell r="BA4977">
            <v>1</v>
          </cell>
          <cell r="BZ4977">
            <v>0</v>
          </cell>
          <cell r="CA4977">
            <v>0</v>
          </cell>
          <cell r="CS4977">
            <v>0</v>
          </cell>
          <cell r="DG4977" t="str">
            <v>)*4*164</v>
          </cell>
        </row>
        <row r="4978">
          <cell r="F4978" t="str">
            <v>5.3-1102-19-1/1</v>
          </cell>
          <cell r="G4978" t="str">
            <v>Уборка лестниц от снега вручную на территории типа ВДНХ - толщиной до 10 см</v>
          </cell>
          <cell r="H4978" t="str">
            <v>100 м2</v>
          </cell>
          <cell r="I4978">
            <v>0.88700000000000001</v>
          </cell>
          <cell r="S4978">
            <v>91626.96</v>
          </cell>
          <cell r="U4978">
            <v>369.55968000000001</v>
          </cell>
          <cell r="X4978">
            <v>64138.87</v>
          </cell>
          <cell r="Y4978">
            <v>9162.7000000000007</v>
          </cell>
          <cell r="AE4978">
            <v>0</v>
          </cell>
          <cell r="AF4978">
            <v>103299.84</v>
          </cell>
          <cell r="AO4978">
            <v>153.72</v>
          </cell>
          <cell r="AQ4978">
            <v>0.62</v>
          </cell>
          <cell r="AT4978">
            <v>70</v>
          </cell>
          <cell r="AU4978">
            <v>10</v>
          </cell>
          <cell r="AV4978">
            <v>1</v>
          </cell>
          <cell r="BA4978">
            <v>1</v>
          </cell>
          <cell r="BZ4978">
            <v>70</v>
          </cell>
          <cell r="CA4978">
            <v>10</v>
          </cell>
          <cell r="CS4978">
            <v>0</v>
          </cell>
          <cell r="DG4978" t="str">
            <v>)*4*168</v>
          </cell>
          <cell r="DI4978" t="str">
            <v>)*4*168</v>
          </cell>
        </row>
        <row r="4979">
          <cell r="F4979" t="str">
            <v>5.3-1102-8-3/1</v>
          </cell>
          <cell r="G4979" t="str">
            <v>Уборка слежавшегося снега вручную( 10% от 88,7 м2)</v>
          </cell>
          <cell r="H4979" t="str">
            <v>100 м2</v>
          </cell>
          <cell r="I4979">
            <v>8.8700000000000001E-2</v>
          </cell>
          <cell r="S4979">
            <v>1413.16</v>
          </cell>
          <cell r="U4979">
            <v>5.6998620000000004</v>
          </cell>
          <cell r="X4979">
            <v>989.21</v>
          </cell>
          <cell r="Y4979">
            <v>141.32</v>
          </cell>
          <cell r="AE4979">
            <v>0</v>
          </cell>
          <cell r="AF4979">
            <v>15931.86</v>
          </cell>
          <cell r="AO4979">
            <v>379.33</v>
          </cell>
          <cell r="AQ4979">
            <v>1.53</v>
          </cell>
          <cell r="AT4979">
            <v>70</v>
          </cell>
          <cell r="AU4979">
            <v>10</v>
          </cell>
          <cell r="AV4979">
            <v>1</v>
          </cell>
          <cell r="BA4979">
            <v>1</v>
          </cell>
          <cell r="BZ4979">
            <v>70</v>
          </cell>
          <cell r="CA4979">
            <v>10</v>
          </cell>
          <cell r="CS4979">
            <v>0</v>
          </cell>
          <cell r="DG4979" t="str">
            <v>)*1*42</v>
          </cell>
          <cell r="DI4979" t="str">
            <v>)*1*42</v>
          </cell>
        </row>
        <row r="4980">
          <cell r="F4980" t="str">
            <v>калькуляция</v>
          </cell>
          <cell r="G4980" t="str">
            <v>Посыпка гранитной крошкой дорожных покрытий вручную( 100г/м2 )</v>
          </cell>
          <cell r="H4980" t="str">
            <v>м2</v>
          </cell>
          <cell r="I4980">
            <v>88.7</v>
          </cell>
          <cell r="S4980">
            <v>123981.31</v>
          </cell>
          <cell r="X4980">
            <v>0</v>
          </cell>
          <cell r="Y4980">
            <v>0</v>
          </cell>
          <cell r="AE4980">
            <v>0</v>
          </cell>
          <cell r="AF4980">
            <v>1397.76</v>
          </cell>
          <cell r="AO4980">
            <v>2.08</v>
          </cell>
          <cell r="AV4980">
            <v>1</v>
          </cell>
          <cell r="BA4980">
            <v>1</v>
          </cell>
          <cell r="BZ4980">
            <v>0</v>
          </cell>
          <cell r="CA4980">
            <v>0</v>
          </cell>
          <cell r="CS4980">
            <v>0</v>
          </cell>
          <cell r="DG4980" t="str">
            <v>)*4*168</v>
          </cell>
        </row>
        <row r="4981">
          <cell r="F4981" t="str">
            <v>цена поставщика</v>
          </cell>
          <cell r="G4981" t="str">
            <v>Крошка гранитная</v>
          </cell>
          <cell r="H4981" t="str">
            <v>кг</v>
          </cell>
          <cell r="I4981">
            <v>5960.64</v>
          </cell>
          <cell r="O4981">
            <v>26405.64</v>
          </cell>
          <cell r="X4981">
            <v>0</v>
          </cell>
          <cell r="Y4981">
            <v>0</v>
          </cell>
          <cell r="AE4981">
            <v>0</v>
          </cell>
          <cell r="AF4981">
            <v>0</v>
          </cell>
          <cell r="AK4981">
            <v>4.43</v>
          </cell>
          <cell r="AV4981">
            <v>1</v>
          </cell>
          <cell r="AW4981">
            <v>1</v>
          </cell>
          <cell r="BC4981">
            <v>1</v>
          </cell>
          <cell r="BZ4981">
            <v>0</v>
          </cell>
          <cell r="CA4981">
            <v>0</v>
          </cell>
          <cell r="CS4981">
            <v>0</v>
          </cell>
        </row>
        <row r="4983">
          <cell r="G4983" t="str">
            <v>Содержание лестниц</v>
          </cell>
        </row>
        <row r="5013">
          <cell r="G5013" t="str">
            <v>Уход за подпорными стенками</v>
          </cell>
        </row>
        <row r="5017">
          <cell r="F5017" t="str">
            <v>калькуляция</v>
          </cell>
          <cell r="G5017" t="str">
            <v>Очистка от снега  подпорных стенок</v>
          </cell>
          <cell r="H5017" t="str">
            <v>м2</v>
          </cell>
          <cell r="I5017">
            <v>634.82000000000005</v>
          </cell>
          <cell r="S5017">
            <v>21901.29</v>
          </cell>
          <cell r="X5017">
            <v>0</v>
          </cell>
          <cell r="Y5017">
            <v>0</v>
          </cell>
          <cell r="AE5017">
            <v>0</v>
          </cell>
          <cell r="AF5017">
            <v>34.5</v>
          </cell>
          <cell r="AO5017">
            <v>3.45</v>
          </cell>
          <cell r="AV5017">
            <v>1</v>
          </cell>
          <cell r="BA5017">
            <v>1</v>
          </cell>
          <cell r="BZ5017">
            <v>0</v>
          </cell>
          <cell r="CA5017">
            <v>0</v>
          </cell>
          <cell r="CS5017">
            <v>0</v>
          </cell>
          <cell r="DG5017" t="str">
            <v>)*1*10</v>
          </cell>
        </row>
        <row r="5019">
          <cell r="G5019" t="str">
            <v>Уход за подпорными стенками</v>
          </cell>
        </row>
        <row r="5049">
          <cell r="G5049" t="str">
            <v>"Патриаршее подворье"</v>
          </cell>
        </row>
        <row r="5079">
          <cell r="G5079" t="str">
            <v>Содержание покрытий тротуара "  Храма зачатия правденной Анны" ( наб. Москворецкая, д.3)</v>
          </cell>
        </row>
        <row r="5083">
          <cell r="G5083" t="str">
            <v>Содержание покрытий.</v>
          </cell>
        </row>
        <row r="5087">
          <cell r="F5087" t="str">
            <v>калькуляция</v>
          </cell>
          <cell r="G5087" t="str">
            <v>Подметание дорожек  вручную ( S=100,3 м2)</v>
          </cell>
          <cell r="H5087" t="str">
            <v>м2</v>
          </cell>
          <cell r="I5087">
            <v>100.3</v>
          </cell>
          <cell r="S5087">
            <v>86851.78</v>
          </cell>
          <cell r="X5087">
            <v>0</v>
          </cell>
          <cell r="Y5087">
            <v>0</v>
          </cell>
          <cell r="AE5087">
            <v>0</v>
          </cell>
          <cell r="AF5087">
            <v>865.92</v>
          </cell>
          <cell r="AO5087">
            <v>1.32</v>
          </cell>
          <cell r="AV5087">
            <v>1</v>
          </cell>
          <cell r="BA5087">
            <v>1</v>
          </cell>
          <cell r="BZ5087">
            <v>0</v>
          </cell>
          <cell r="CA5087">
            <v>0</v>
          </cell>
          <cell r="CS5087">
            <v>0</v>
          </cell>
          <cell r="DG5087" t="str">
            <v>)*4*164</v>
          </cell>
        </row>
        <row r="5088">
          <cell r="F5088" t="str">
            <v>5.3-1102-8-1/1</v>
          </cell>
          <cell r="G5088" t="str">
            <v>Уборка свежевыпавшего снега вручную толщиной слоя до 10 см ( 100,3 м2 * 0,8*0,7*0,5 = 28,08м2 )</v>
          </cell>
          <cell r="H5088" t="str">
            <v>100 м2</v>
          </cell>
          <cell r="I5088">
            <v>0.28079999999999999</v>
          </cell>
          <cell r="S5088">
            <v>30408.62</v>
          </cell>
          <cell r="U5088">
            <v>122.65344</v>
          </cell>
          <cell r="X5088">
            <v>21286.03</v>
          </cell>
          <cell r="Y5088">
            <v>3040.86</v>
          </cell>
          <cell r="AE5088">
            <v>0</v>
          </cell>
          <cell r="AF5088">
            <v>108292.8</v>
          </cell>
          <cell r="AO5088">
            <v>161.15</v>
          </cell>
          <cell r="AQ5088">
            <v>0.65</v>
          </cell>
          <cell r="AT5088">
            <v>70</v>
          </cell>
          <cell r="AU5088">
            <v>10</v>
          </cell>
          <cell r="AV5088">
            <v>1</v>
          </cell>
          <cell r="BA5088">
            <v>1</v>
          </cell>
          <cell r="BZ5088">
            <v>70</v>
          </cell>
          <cell r="CA5088">
            <v>10</v>
          </cell>
          <cell r="CS5088">
            <v>0</v>
          </cell>
          <cell r="DG5088" t="str">
            <v>*4*168</v>
          </cell>
          <cell r="DI5088" t="str">
            <v>*4*168</v>
          </cell>
        </row>
        <row r="5089">
          <cell r="F5089" t="str">
            <v>5.3-1102-8-3/1</v>
          </cell>
          <cell r="G5089" t="str">
            <v>Уборка слежавшегося снега вручную(S=100,3м2*0,8*0,7*0,5=28,08м2)</v>
          </cell>
          <cell r="H5089" t="str">
            <v>100 м2</v>
          </cell>
          <cell r="I5089">
            <v>0.28079999999999999</v>
          </cell>
          <cell r="S5089">
            <v>17894.669999999998</v>
          </cell>
          <cell r="U5089">
            <v>72.176832000000005</v>
          </cell>
          <cell r="X5089">
            <v>12526.27</v>
          </cell>
          <cell r="Y5089">
            <v>1789.47</v>
          </cell>
          <cell r="AE5089">
            <v>0</v>
          </cell>
          <cell r="AF5089">
            <v>63727.44</v>
          </cell>
          <cell r="AO5089">
            <v>379.33</v>
          </cell>
          <cell r="AQ5089">
            <v>1.53</v>
          </cell>
          <cell r="AT5089">
            <v>70</v>
          </cell>
          <cell r="AU5089">
            <v>10</v>
          </cell>
          <cell r="AV5089">
            <v>1</v>
          </cell>
          <cell r="BA5089">
            <v>1</v>
          </cell>
          <cell r="BZ5089">
            <v>70</v>
          </cell>
          <cell r="CA5089">
            <v>10</v>
          </cell>
          <cell r="CS5089">
            <v>0</v>
          </cell>
          <cell r="DG5089" t="str">
            <v>)*1*168</v>
          </cell>
          <cell r="DI5089" t="str">
            <v>)*1*168</v>
          </cell>
        </row>
        <row r="5090">
          <cell r="F5090" t="str">
            <v>5.3-1102-8-1/1</v>
          </cell>
          <cell r="G5090" t="str">
            <v>Уборка свежевыпавшего снега вручную толщиной слоя до 10 см ( 100,3м2 * 0,8*0,3*0,5 =  12,04 м2 )</v>
          </cell>
          <cell r="H5090" t="str">
            <v>100 м2</v>
          </cell>
          <cell r="I5090">
            <v>0.12039999999999999</v>
          </cell>
          <cell r="S5090">
            <v>13038.45</v>
          </cell>
          <cell r="U5090">
            <v>52.590719999999997</v>
          </cell>
          <cell r="X5090">
            <v>9126.92</v>
          </cell>
          <cell r="Y5090">
            <v>1303.8499999999999</v>
          </cell>
          <cell r="AE5090">
            <v>0</v>
          </cell>
          <cell r="AF5090">
            <v>108292.8</v>
          </cell>
          <cell r="AO5090">
            <v>161.15</v>
          </cell>
          <cell r="AQ5090">
            <v>0.65</v>
          </cell>
          <cell r="AT5090">
            <v>70</v>
          </cell>
          <cell r="AU5090">
            <v>10</v>
          </cell>
          <cell r="AV5090">
            <v>1</v>
          </cell>
          <cell r="BA5090">
            <v>1</v>
          </cell>
          <cell r="BZ5090">
            <v>70</v>
          </cell>
          <cell r="CA5090">
            <v>10</v>
          </cell>
          <cell r="CS5090">
            <v>0</v>
          </cell>
          <cell r="DG5090" t="str">
            <v>*4*168</v>
          </cell>
          <cell r="DI5090" t="str">
            <v>*4*168</v>
          </cell>
        </row>
        <row r="5091">
          <cell r="F5091" t="str">
            <v>5.3-1102-8-2/1</v>
          </cell>
          <cell r="G5091" t="str">
            <v>Уборка свежевыпавшего снега вручную, добавлять на каждые следующие 10 см увеличения толщины слоя</v>
          </cell>
          <cell r="H5091" t="str">
            <v>100 м2</v>
          </cell>
          <cell r="I5091">
            <v>0.12039999999999999</v>
          </cell>
          <cell r="S5091">
            <v>9428.2999999999993</v>
          </cell>
          <cell r="U5091">
            <v>38.027135999999992</v>
          </cell>
          <cell r="X5091">
            <v>6599.81</v>
          </cell>
          <cell r="Y5091">
            <v>942.83</v>
          </cell>
          <cell r="AE5091">
            <v>0</v>
          </cell>
          <cell r="AF5091">
            <v>78308.160000000003</v>
          </cell>
          <cell r="AO5091">
            <v>116.53</v>
          </cell>
          <cell r="AQ5091">
            <v>0.47</v>
          </cell>
          <cell r="AT5091">
            <v>70</v>
          </cell>
          <cell r="AU5091">
            <v>10</v>
          </cell>
          <cell r="AV5091">
            <v>1</v>
          </cell>
          <cell r="BA5091">
            <v>1</v>
          </cell>
          <cell r="BZ5091">
            <v>70</v>
          </cell>
          <cell r="CA5091">
            <v>10</v>
          </cell>
          <cell r="CS5091">
            <v>0</v>
          </cell>
          <cell r="DG5091" t="str">
            <v>*4*168</v>
          </cell>
          <cell r="DI5091" t="str">
            <v>*4*168</v>
          </cell>
        </row>
        <row r="5092">
          <cell r="F5092" t="str">
            <v>5.3-1102-24-1/1</v>
          </cell>
          <cell r="G5092" t="str">
            <v>Уборка свежевыпавшего снега ручной самоходной машиной - ширина захвата 120 см ( S=100,3 м2*0,2=20,06м2)</v>
          </cell>
          <cell r="H5092" t="str">
            <v>100 м2</v>
          </cell>
          <cell r="I5092">
            <v>0.2006</v>
          </cell>
          <cell r="Q5092">
            <v>4579.26</v>
          </cell>
          <cell r="R5092">
            <v>12.13</v>
          </cell>
          <cell r="S5092">
            <v>13084</v>
          </cell>
          <cell r="U5092">
            <v>47.18112</v>
          </cell>
          <cell r="X5092">
            <v>9158.7999999999993</v>
          </cell>
          <cell r="Y5092">
            <v>1308.4000000000001</v>
          </cell>
          <cell r="AE5092">
            <v>60.48</v>
          </cell>
          <cell r="AF5092">
            <v>65224.32</v>
          </cell>
          <cell r="AM5092">
            <v>33.97</v>
          </cell>
          <cell r="AN5092">
            <v>0.09</v>
          </cell>
          <cell r="AO5092">
            <v>97.06</v>
          </cell>
          <cell r="AQ5092">
            <v>0.35</v>
          </cell>
          <cell r="AT5092">
            <v>70</v>
          </cell>
          <cell r="AU5092">
            <v>10</v>
          </cell>
          <cell r="AV5092">
            <v>1</v>
          </cell>
          <cell r="BA5092">
            <v>1</v>
          </cell>
          <cell r="BB5092">
            <v>1</v>
          </cell>
          <cell r="BS5092">
            <v>1</v>
          </cell>
          <cell r="BZ5092">
            <v>70</v>
          </cell>
          <cell r="CA5092">
            <v>10</v>
          </cell>
          <cell r="CS5092">
            <v>60.48</v>
          </cell>
          <cell r="DE5092" t="str">
            <v>*4*168</v>
          </cell>
          <cell r="DF5092" t="str">
            <v>*4*168</v>
          </cell>
          <cell r="DG5092" t="str">
            <v>*4*168</v>
          </cell>
          <cell r="DI5092" t="str">
            <v>*4*168</v>
          </cell>
        </row>
        <row r="5093">
          <cell r="F5093" t="str">
            <v>5.3-1102-9-1/1</v>
          </cell>
          <cell r="G5093" t="str">
            <v>Колка льда на обледеневших покрытиях вручную ( S=100,3м2*0,8*0,3*0,5= 12.,04  м2)</v>
          </cell>
          <cell r="H5093" t="str">
            <v>100 м2</v>
          </cell>
          <cell r="I5093">
            <v>0.12039999999999999</v>
          </cell>
          <cell r="S5093">
            <v>24171.91</v>
          </cell>
          <cell r="U5093">
            <v>97.495103999999998</v>
          </cell>
          <cell r="X5093">
            <v>16920.34</v>
          </cell>
          <cell r="Y5093">
            <v>2417.19</v>
          </cell>
          <cell r="AE5093">
            <v>0</v>
          </cell>
          <cell r="AF5093">
            <v>200763.36</v>
          </cell>
          <cell r="AO5093">
            <v>597.51</v>
          </cell>
          <cell r="AQ5093">
            <v>2.41</v>
          </cell>
          <cell r="AT5093">
            <v>70</v>
          </cell>
          <cell r="AU5093">
            <v>10</v>
          </cell>
          <cell r="AV5093">
            <v>1</v>
          </cell>
          <cell r="BA5093">
            <v>1</v>
          </cell>
          <cell r="BZ5093">
            <v>70</v>
          </cell>
          <cell r="CA5093">
            <v>10</v>
          </cell>
          <cell r="CS5093">
            <v>0</v>
          </cell>
          <cell r="DG5093" t="str">
            <v>)*2*168</v>
          </cell>
          <cell r="DI5093" t="str">
            <v>)*2*168</v>
          </cell>
        </row>
        <row r="5094">
          <cell r="F5094" t="str">
            <v>калькуляция</v>
          </cell>
          <cell r="G5094" t="str">
            <v>Посыпка гранитной крошкой  дорожных покрытий вручную( 100г/м2 )</v>
          </cell>
          <cell r="H5094" t="str">
            <v>м2</v>
          </cell>
          <cell r="I5094">
            <v>100.3</v>
          </cell>
          <cell r="S5094">
            <v>140195.32999999999</v>
          </cell>
          <cell r="X5094">
            <v>0</v>
          </cell>
          <cell r="Y5094">
            <v>0</v>
          </cell>
          <cell r="AE5094">
            <v>0</v>
          </cell>
          <cell r="AF5094">
            <v>1397.76</v>
          </cell>
          <cell r="AO5094">
            <v>2.08</v>
          </cell>
          <cell r="AV5094">
            <v>1</v>
          </cell>
          <cell r="BA5094">
            <v>1</v>
          </cell>
          <cell r="BZ5094">
            <v>0</v>
          </cell>
          <cell r="CA5094">
            <v>0</v>
          </cell>
          <cell r="CS5094">
            <v>0</v>
          </cell>
          <cell r="DG5094" t="str">
            <v>*4*168</v>
          </cell>
        </row>
        <row r="5095">
          <cell r="F5095" t="str">
            <v>цена поставщика</v>
          </cell>
          <cell r="G5095" t="str">
            <v>Крошка гранитная</v>
          </cell>
          <cell r="H5095" t="str">
            <v>кг</v>
          </cell>
          <cell r="I5095">
            <v>6740.16</v>
          </cell>
          <cell r="O5095">
            <v>29858.91</v>
          </cell>
          <cell r="X5095">
            <v>0</v>
          </cell>
          <cell r="Y5095">
            <v>0</v>
          </cell>
          <cell r="AE5095">
            <v>0</v>
          </cell>
          <cell r="AF5095">
            <v>0</v>
          </cell>
          <cell r="AK5095">
            <v>4.43</v>
          </cell>
          <cell r="AV5095">
            <v>1</v>
          </cell>
          <cell r="AW5095">
            <v>1</v>
          </cell>
          <cell r="BC5095">
            <v>1</v>
          </cell>
          <cell r="BZ5095">
            <v>0</v>
          </cell>
          <cell r="CA5095">
            <v>0</v>
          </cell>
          <cell r="CS5095">
            <v>0</v>
          </cell>
        </row>
        <row r="5096">
          <cell r="F5096" t="str">
            <v>5.4-1201-1-1/1</v>
          </cell>
          <cell r="G5096" t="str">
            <v>Сбор случайного мусора по территории</v>
          </cell>
          <cell r="H5096" t="str">
            <v>100 м2</v>
          </cell>
          <cell r="I5096">
            <v>1.0029999999999999</v>
          </cell>
          <cell r="P5096">
            <v>919.07</v>
          </cell>
          <cell r="S5096">
            <v>16516.599999999999</v>
          </cell>
          <cell r="U5096">
            <v>66.599199999999996</v>
          </cell>
          <cell r="X5096">
            <v>11561.62</v>
          </cell>
          <cell r="Y5096">
            <v>1651.66</v>
          </cell>
          <cell r="AE5096">
            <v>0</v>
          </cell>
          <cell r="AF5096">
            <v>16467.2</v>
          </cell>
          <cell r="AL5096">
            <v>0.69</v>
          </cell>
          <cell r="AO5096">
            <v>12.4</v>
          </cell>
          <cell r="AQ5096">
            <v>0.05</v>
          </cell>
          <cell r="AT5096">
            <v>70</v>
          </cell>
          <cell r="AU5096">
            <v>10</v>
          </cell>
          <cell r="AV5096">
            <v>1</v>
          </cell>
          <cell r="AW5096">
            <v>1</v>
          </cell>
          <cell r="BA5096">
            <v>1</v>
          </cell>
          <cell r="BC5096">
            <v>1</v>
          </cell>
          <cell r="BZ5096">
            <v>70</v>
          </cell>
          <cell r="CA5096">
            <v>10</v>
          </cell>
          <cell r="CS5096">
            <v>0</v>
          </cell>
          <cell r="DD5096" t="str">
            <v>)*4*332</v>
          </cell>
          <cell r="DG5096" t="str">
            <v>)*4*332</v>
          </cell>
          <cell r="DI5096" t="str">
            <v>)*4*332</v>
          </cell>
        </row>
        <row r="5098">
          <cell r="G5098" t="str">
            <v>Содержание покрытий.</v>
          </cell>
        </row>
        <row r="5128">
          <cell r="G5128" t="str">
            <v>Содержание лестниц</v>
          </cell>
        </row>
        <row r="5132">
          <cell r="F5132" t="str">
            <v>калькуляция</v>
          </cell>
          <cell r="G5132" t="str">
            <v>Подметание лестницы</v>
          </cell>
          <cell r="H5132" t="str">
            <v>м2</v>
          </cell>
          <cell r="I5132">
            <v>9.0399999999999991</v>
          </cell>
          <cell r="S5132">
            <v>11504.67</v>
          </cell>
          <cell r="X5132">
            <v>0</v>
          </cell>
          <cell r="Y5132">
            <v>0</v>
          </cell>
          <cell r="AE5132">
            <v>0</v>
          </cell>
          <cell r="AF5132">
            <v>1272.6400000000001</v>
          </cell>
          <cell r="AO5132">
            <v>1.94</v>
          </cell>
          <cell r="AV5132">
            <v>1</v>
          </cell>
          <cell r="BA5132">
            <v>1</v>
          </cell>
          <cell r="BZ5132">
            <v>0</v>
          </cell>
          <cell r="CA5132">
            <v>0</v>
          </cell>
          <cell r="CS5132">
            <v>0</v>
          </cell>
          <cell r="DG5132" t="str">
            <v>)*4*164</v>
          </cell>
        </row>
        <row r="5133">
          <cell r="F5133" t="str">
            <v>5.3-1102-19-1/1</v>
          </cell>
          <cell r="G5133" t="str">
            <v>Уборка лестниц от снега вручную на территории типа ВДНХ - толщиной до 10 см</v>
          </cell>
          <cell r="H5133" t="str">
            <v>100 м2</v>
          </cell>
          <cell r="I5133">
            <v>9.0399999999999994E-2</v>
          </cell>
          <cell r="S5133">
            <v>9338.31</v>
          </cell>
          <cell r="U5133">
            <v>37.664255999999995</v>
          </cell>
          <cell r="X5133">
            <v>6536.82</v>
          </cell>
          <cell r="Y5133">
            <v>933.83</v>
          </cell>
          <cell r="AE5133">
            <v>0</v>
          </cell>
          <cell r="AF5133">
            <v>103299.84</v>
          </cell>
          <cell r="AO5133">
            <v>153.72</v>
          </cell>
          <cell r="AQ5133">
            <v>0.62</v>
          </cell>
          <cell r="AT5133">
            <v>70</v>
          </cell>
          <cell r="AU5133">
            <v>10</v>
          </cell>
          <cell r="AV5133">
            <v>1</v>
          </cell>
          <cell r="BA5133">
            <v>1</v>
          </cell>
          <cell r="BZ5133">
            <v>70</v>
          </cell>
          <cell r="CA5133">
            <v>10</v>
          </cell>
          <cell r="CS5133">
            <v>0</v>
          </cell>
          <cell r="DG5133" t="str">
            <v>)*4*168</v>
          </cell>
          <cell r="DI5133" t="str">
            <v>)*4*168</v>
          </cell>
        </row>
        <row r="5134">
          <cell r="F5134" t="str">
            <v>5.3-1102-8-3/1</v>
          </cell>
          <cell r="G5134" t="str">
            <v>Уборка слежавшегося снега вручную( 10% от 9,04 м2)</v>
          </cell>
          <cell r="H5134" t="str">
            <v>100 м2</v>
          </cell>
          <cell r="I5134">
            <v>9.0399999999999994E-3</v>
          </cell>
          <cell r="S5134">
            <v>144.02000000000001</v>
          </cell>
          <cell r="U5134">
            <v>0.58091040000000005</v>
          </cell>
          <cell r="X5134">
            <v>100.81</v>
          </cell>
          <cell r="Y5134">
            <v>14.4</v>
          </cell>
          <cell r="AE5134">
            <v>0</v>
          </cell>
          <cell r="AF5134">
            <v>15931.86</v>
          </cell>
          <cell r="AO5134">
            <v>379.33</v>
          </cell>
          <cell r="AQ5134">
            <v>1.53</v>
          </cell>
          <cell r="AT5134">
            <v>70</v>
          </cell>
          <cell r="AU5134">
            <v>10</v>
          </cell>
          <cell r="AV5134">
            <v>1</v>
          </cell>
          <cell r="BA5134">
            <v>1</v>
          </cell>
          <cell r="BZ5134">
            <v>70</v>
          </cell>
          <cell r="CA5134">
            <v>10</v>
          </cell>
          <cell r="CS5134">
            <v>0</v>
          </cell>
          <cell r="DG5134" t="str">
            <v>)*1*42</v>
          </cell>
          <cell r="DI5134" t="str">
            <v>)*1*42</v>
          </cell>
        </row>
        <row r="5135">
          <cell r="F5135" t="str">
            <v>калькуляция</v>
          </cell>
          <cell r="G5135" t="str">
            <v>Посыпка гранитной крошкой дорожных покрытий вручную( 100г/м2 )</v>
          </cell>
          <cell r="H5135" t="str">
            <v>м2</v>
          </cell>
          <cell r="I5135">
            <v>9.0399999999999991</v>
          </cell>
          <cell r="S5135">
            <v>12635.75</v>
          </cell>
          <cell r="X5135">
            <v>0</v>
          </cell>
          <cell r="Y5135">
            <v>0</v>
          </cell>
          <cell r="AE5135">
            <v>0</v>
          </cell>
          <cell r="AF5135">
            <v>1397.76</v>
          </cell>
          <cell r="AO5135">
            <v>2.08</v>
          </cell>
          <cell r="AV5135">
            <v>1</v>
          </cell>
          <cell r="BA5135">
            <v>1</v>
          </cell>
          <cell r="BZ5135">
            <v>0</v>
          </cell>
          <cell r="CA5135">
            <v>0</v>
          </cell>
          <cell r="CS5135">
            <v>0</v>
          </cell>
          <cell r="DG5135" t="str">
            <v>)*4*168</v>
          </cell>
        </row>
        <row r="5136">
          <cell r="F5136" t="str">
            <v>цена поставщика</v>
          </cell>
          <cell r="G5136" t="str">
            <v>Крошка гранитная</v>
          </cell>
          <cell r="H5136" t="str">
            <v>кг</v>
          </cell>
          <cell r="I5136">
            <v>607.48800000000006</v>
          </cell>
          <cell r="O5136">
            <v>2691.17</v>
          </cell>
          <cell r="X5136">
            <v>0</v>
          </cell>
          <cell r="Y5136">
            <v>0</v>
          </cell>
          <cell r="AE5136">
            <v>0</v>
          </cell>
          <cell r="AF5136">
            <v>0</v>
          </cell>
          <cell r="AK5136">
            <v>4.43</v>
          </cell>
          <cell r="AV5136">
            <v>1</v>
          </cell>
          <cell r="AW5136">
            <v>1</v>
          </cell>
          <cell r="BC5136">
            <v>1</v>
          </cell>
          <cell r="BZ5136">
            <v>0</v>
          </cell>
          <cell r="CA5136">
            <v>0</v>
          </cell>
          <cell r="CS5136">
            <v>0</v>
          </cell>
        </row>
        <row r="5138">
          <cell r="G5138" t="str">
            <v>Содержание лестниц</v>
          </cell>
        </row>
        <row r="5168">
          <cell r="G5168" t="str">
            <v>Уход за подпорными стенками</v>
          </cell>
        </row>
        <row r="5172">
          <cell r="F5172" t="str">
            <v>калькуляция</v>
          </cell>
          <cell r="G5172" t="str">
            <v>Очистка от снега  подпорных стенок</v>
          </cell>
          <cell r="H5172" t="str">
            <v>м2</v>
          </cell>
          <cell r="I5172">
            <v>12.7</v>
          </cell>
          <cell r="S5172">
            <v>438.15</v>
          </cell>
          <cell r="X5172">
            <v>0</v>
          </cell>
          <cell r="Y5172">
            <v>0</v>
          </cell>
          <cell r="AE5172">
            <v>0</v>
          </cell>
          <cell r="AF5172">
            <v>34.5</v>
          </cell>
          <cell r="AO5172">
            <v>3.45</v>
          </cell>
          <cell r="AV5172">
            <v>1</v>
          </cell>
          <cell r="BA5172">
            <v>1</v>
          </cell>
          <cell r="BZ5172">
            <v>0</v>
          </cell>
          <cell r="CA5172">
            <v>0</v>
          </cell>
          <cell r="CS5172">
            <v>0</v>
          </cell>
          <cell r="DG5172" t="str">
            <v>)*1*10</v>
          </cell>
        </row>
        <row r="5174">
          <cell r="G5174" t="str">
            <v>Уход за подпорными стенками</v>
          </cell>
        </row>
        <row r="5204">
          <cell r="G5204" t="str">
            <v>Содержание покрытий тротуара "  Храма зачатия правденной Анны" ( наб. Москворецкая, д.3)</v>
          </cell>
        </row>
        <row r="5234">
          <cell r="G5234" t="str">
            <v>Китайгородский проезд ( S=573,66 м2 ).</v>
          </cell>
        </row>
        <row r="5238">
          <cell r="G5238" t="str">
            <v>Содержание покрытий ( S=573,66 м2)..</v>
          </cell>
        </row>
        <row r="5242">
          <cell r="F5242" t="str">
            <v>калькуляция</v>
          </cell>
          <cell r="G5242" t="str">
            <v>Подметание дорожек  вручную ( S=573,66м2)</v>
          </cell>
          <cell r="H5242" t="str">
            <v>м2</v>
          </cell>
          <cell r="I5242">
            <v>573.66</v>
          </cell>
          <cell r="S5242">
            <v>496743.67</v>
          </cell>
          <cell r="X5242">
            <v>0</v>
          </cell>
          <cell r="Y5242">
            <v>0</v>
          </cell>
          <cell r="AE5242">
            <v>0</v>
          </cell>
          <cell r="AF5242">
            <v>865.92</v>
          </cell>
          <cell r="AO5242">
            <v>1.32</v>
          </cell>
          <cell r="AV5242">
            <v>1</v>
          </cell>
          <cell r="BA5242">
            <v>1</v>
          </cell>
          <cell r="BZ5242">
            <v>0</v>
          </cell>
          <cell r="CA5242">
            <v>0</v>
          </cell>
          <cell r="CS5242">
            <v>0</v>
          </cell>
          <cell r="DG5242" t="str">
            <v>)*4*164</v>
          </cell>
        </row>
        <row r="5243">
          <cell r="F5243" t="str">
            <v>5.3-1102-8-1/1</v>
          </cell>
          <cell r="G5243" t="str">
            <v>Уборка свежевыпавшего снега вручную толщиной слоя до 10 см ( 573,66 м2 * 0,8*0,7*0,5 = 160,62м2 )</v>
          </cell>
          <cell r="H5243" t="str">
            <v>100 м2</v>
          </cell>
          <cell r="I5243">
            <v>1.6062000000000001</v>
          </cell>
          <cell r="S5243">
            <v>173939.9</v>
          </cell>
          <cell r="U5243">
            <v>701.58816000000002</v>
          </cell>
          <cell r="X5243">
            <v>121757.93</v>
          </cell>
          <cell r="Y5243">
            <v>17393.990000000002</v>
          </cell>
          <cell r="AE5243">
            <v>0</v>
          </cell>
          <cell r="AF5243">
            <v>108292.8</v>
          </cell>
          <cell r="AO5243">
            <v>161.15</v>
          </cell>
          <cell r="AQ5243">
            <v>0.65</v>
          </cell>
          <cell r="AT5243">
            <v>70</v>
          </cell>
          <cell r="AU5243">
            <v>10</v>
          </cell>
          <cell r="AV5243">
            <v>1</v>
          </cell>
          <cell r="BA5243">
            <v>1</v>
          </cell>
          <cell r="BZ5243">
            <v>70</v>
          </cell>
          <cell r="CA5243">
            <v>10</v>
          </cell>
          <cell r="CS5243">
            <v>0</v>
          </cell>
          <cell r="DG5243" t="str">
            <v>)*4*168</v>
          </cell>
          <cell r="DI5243" t="str">
            <v>)*4*168</v>
          </cell>
        </row>
        <row r="5244">
          <cell r="F5244" t="str">
            <v>5.3-1102-8-3/1</v>
          </cell>
          <cell r="G5244" t="str">
            <v>Уборка слежавшегося снега вручную(S=573,66 м2*0,8*0,7*0,5=160,62м2)</v>
          </cell>
          <cell r="H5244" t="str">
            <v>100 м2</v>
          </cell>
          <cell r="I5244">
            <v>1.6062000000000001</v>
          </cell>
          <cell r="S5244">
            <v>102359.01</v>
          </cell>
          <cell r="U5244">
            <v>412.85764800000004</v>
          </cell>
          <cell r="X5244">
            <v>71651.31</v>
          </cell>
          <cell r="Y5244">
            <v>10235.9</v>
          </cell>
          <cell r="AE5244">
            <v>0</v>
          </cell>
          <cell r="AF5244">
            <v>63727.44</v>
          </cell>
          <cell r="AO5244">
            <v>379.33</v>
          </cell>
          <cell r="AQ5244">
            <v>1.53</v>
          </cell>
          <cell r="AT5244">
            <v>70</v>
          </cell>
          <cell r="AU5244">
            <v>10</v>
          </cell>
          <cell r="AV5244">
            <v>1</v>
          </cell>
          <cell r="BA5244">
            <v>1</v>
          </cell>
          <cell r="BZ5244">
            <v>70</v>
          </cell>
          <cell r="CA5244">
            <v>10</v>
          </cell>
          <cell r="CS5244">
            <v>0</v>
          </cell>
          <cell r="DG5244" t="str">
            <v>)*1*168</v>
          </cell>
          <cell r="DI5244" t="str">
            <v>)*1*168</v>
          </cell>
        </row>
        <row r="5245">
          <cell r="F5245" t="str">
            <v>5.3-1102-8-1/1</v>
          </cell>
          <cell r="G5245" t="str">
            <v>Уборка свежевыпавшего снега вручную толщиной слоя до 10 см ( 573,66 м2 * 0,8*0,3*0,5 = 68,84 м2 )</v>
          </cell>
          <cell r="H5245" t="str">
            <v>100 м2</v>
          </cell>
          <cell r="I5245">
            <v>0.68840000000000001</v>
          </cell>
          <cell r="S5245">
            <v>74548.759999999995</v>
          </cell>
          <cell r="U5245">
            <v>300.69312000000002</v>
          </cell>
          <cell r="X5245">
            <v>52184.13</v>
          </cell>
          <cell r="Y5245">
            <v>7454.88</v>
          </cell>
          <cell r="AE5245">
            <v>0</v>
          </cell>
          <cell r="AF5245">
            <v>108292.8</v>
          </cell>
          <cell r="AO5245">
            <v>161.15</v>
          </cell>
          <cell r="AQ5245">
            <v>0.65</v>
          </cell>
          <cell r="AT5245">
            <v>70</v>
          </cell>
          <cell r="AU5245">
            <v>10</v>
          </cell>
          <cell r="AV5245">
            <v>1</v>
          </cell>
          <cell r="BA5245">
            <v>1</v>
          </cell>
          <cell r="BZ5245">
            <v>70</v>
          </cell>
          <cell r="CA5245">
            <v>10</v>
          </cell>
          <cell r="CS5245">
            <v>0</v>
          </cell>
          <cell r="DG5245" t="str">
            <v>)*4*168</v>
          </cell>
          <cell r="DI5245" t="str">
            <v>)*4*168</v>
          </cell>
        </row>
        <row r="5246">
          <cell r="F5246" t="str">
            <v>5.3-1102-8-2/1</v>
          </cell>
          <cell r="G5246" t="str">
            <v>Уборка свежевыпавшего снега вручную, добавлять на каждые следующие 10 см увеличения толщины слоя</v>
          </cell>
          <cell r="H5246" t="str">
            <v>100 м2</v>
          </cell>
          <cell r="I5246">
            <v>0.68840000000000001</v>
          </cell>
          <cell r="S5246">
            <v>53907.34</v>
          </cell>
          <cell r="U5246">
            <v>217.42425599999999</v>
          </cell>
          <cell r="X5246">
            <v>37735.14</v>
          </cell>
          <cell r="Y5246">
            <v>5390.73</v>
          </cell>
          <cell r="AE5246">
            <v>0</v>
          </cell>
          <cell r="AF5246">
            <v>78308.160000000003</v>
          </cell>
          <cell r="AO5246">
            <v>116.53</v>
          </cell>
          <cell r="AQ5246">
            <v>0.47</v>
          </cell>
          <cell r="AT5246">
            <v>70</v>
          </cell>
          <cell r="AU5246">
            <v>10</v>
          </cell>
          <cell r="AV5246">
            <v>1</v>
          </cell>
          <cell r="BA5246">
            <v>1</v>
          </cell>
          <cell r="BZ5246">
            <v>70</v>
          </cell>
          <cell r="CA5246">
            <v>10</v>
          </cell>
          <cell r="CS5246">
            <v>0</v>
          </cell>
          <cell r="DG5246" t="str">
            <v>)*4*168</v>
          </cell>
          <cell r="DI5246" t="str">
            <v>)*4*168</v>
          </cell>
        </row>
        <row r="5247">
          <cell r="F5247" t="str">
            <v>5.3-1102-24-1/1</v>
          </cell>
          <cell r="G5247" t="str">
            <v>Уборка свежевыпавшего снега ручной самоходной машиной - ширина захвата 120 см ( S=573,66м2*0,2=114,73м2)</v>
          </cell>
          <cell r="H5247" t="str">
            <v>100 м2</v>
          </cell>
          <cell r="I5247">
            <v>1.1473</v>
          </cell>
          <cell r="Q5247">
            <v>26190.38</v>
          </cell>
          <cell r="R5247">
            <v>69.39</v>
          </cell>
          <cell r="S5247">
            <v>74831.86</v>
          </cell>
          <cell r="U5247">
            <v>269.84495999999996</v>
          </cell>
          <cell r="X5247">
            <v>52382.3</v>
          </cell>
          <cell r="Y5247">
            <v>7483.19</v>
          </cell>
          <cell r="AE5247">
            <v>60.48</v>
          </cell>
          <cell r="AF5247">
            <v>65224.32</v>
          </cell>
          <cell r="AM5247">
            <v>33.97</v>
          </cell>
          <cell r="AN5247">
            <v>0.09</v>
          </cell>
          <cell r="AO5247">
            <v>97.06</v>
          </cell>
          <cell r="AQ5247">
            <v>0.35</v>
          </cell>
          <cell r="AT5247">
            <v>70</v>
          </cell>
          <cell r="AU5247">
            <v>10</v>
          </cell>
          <cell r="AV5247">
            <v>1</v>
          </cell>
          <cell r="BA5247">
            <v>1</v>
          </cell>
          <cell r="BB5247">
            <v>1</v>
          </cell>
          <cell r="BS5247">
            <v>1</v>
          </cell>
          <cell r="BZ5247">
            <v>70</v>
          </cell>
          <cell r="CA5247">
            <v>10</v>
          </cell>
          <cell r="CS5247">
            <v>60.48</v>
          </cell>
          <cell r="DE5247" t="str">
            <v>)*4*168</v>
          </cell>
          <cell r="DF5247" t="str">
            <v>)*4*168</v>
          </cell>
          <cell r="DG5247" t="str">
            <v>)*4*168</v>
          </cell>
          <cell r="DI5247" t="str">
            <v>)*4*168</v>
          </cell>
        </row>
        <row r="5248">
          <cell r="F5248" t="str">
            <v>5.3-1102-9-1/1</v>
          </cell>
          <cell r="G5248" t="str">
            <v>Колка льда на обледеневших покрытиях вручную ( S=573,66м2*0,8*0,3*0,5= 68,84м2)</v>
          </cell>
          <cell r="H5248" t="str">
            <v>100 м2</v>
          </cell>
          <cell r="I5248">
            <v>0.68840000000000001</v>
          </cell>
          <cell r="S5248">
            <v>138205.5</v>
          </cell>
          <cell r="U5248">
            <v>557.43878400000006</v>
          </cell>
          <cell r="X5248">
            <v>96743.85</v>
          </cell>
          <cell r="Y5248">
            <v>13820.55</v>
          </cell>
          <cell r="AE5248">
            <v>0</v>
          </cell>
          <cell r="AF5248">
            <v>200763.36</v>
          </cell>
          <cell r="AO5248">
            <v>597.51</v>
          </cell>
          <cell r="AQ5248">
            <v>2.41</v>
          </cell>
          <cell r="AT5248">
            <v>70</v>
          </cell>
          <cell r="AU5248">
            <v>10</v>
          </cell>
          <cell r="AV5248">
            <v>1</v>
          </cell>
          <cell r="BA5248">
            <v>1</v>
          </cell>
          <cell r="BZ5248">
            <v>70</v>
          </cell>
          <cell r="CA5248">
            <v>10</v>
          </cell>
          <cell r="CS5248">
            <v>0</v>
          </cell>
          <cell r="DG5248" t="str">
            <v>)*2*168</v>
          </cell>
          <cell r="DI5248" t="str">
            <v>)*2*168</v>
          </cell>
        </row>
        <row r="5249">
          <cell r="F5249" t="str">
            <v>калькуляция</v>
          </cell>
          <cell r="G5249" t="str">
            <v>Посыпка гранитной крошкой  дорожных покрытий вручную( 100г/м2 )</v>
          </cell>
          <cell r="H5249" t="str">
            <v>м2</v>
          </cell>
          <cell r="I5249">
            <v>573.66</v>
          </cell>
          <cell r="S5249">
            <v>801839</v>
          </cell>
          <cell r="X5249">
            <v>0</v>
          </cell>
          <cell r="Y5249">
            <v>0</v>
          </cell>
          <cell r="AE5249">
            <v>0</v>
          </cell>
          <cell r="AF5249">
            <v>1397.76</v>
          </cell>
          <cell r="AO5249">
            <v>2.08</v>
          </cell>
          <cell r="AV5249">
            <v>1</v>
          </cell>
          <cell r="BA5249">
            <v>1</v>
          </cell>
          <cell r="BZ5249">
            <v>0</v>
          </cell>
          <cell r="CA5249">
            <v>0</v>
          </cell>
          <cell r="CS5249">
            <v>0</v>
          </cell>
          <cell r="DG5249" t="str">
            <v>)*4*168</v>
          </cell>
        </row>
        <row r="5250">
          <cell r="F5250" t="str">
            <v>цена поставщика</v>
          </cell>
          <cell r="G5250" t="str">
            <v>Крошка гранитная</v>
          </cell>
          <cell r="H5250" t="str">
            <v>кг</v>
          </cell>
          <cell r="I5250">
            <v>38549.951999999997</v>
          </cell>
          <cell r="O5250">
            <v>170776.29</v>
          </cell>
          <cell r="X5250">
            <v>0</v>
          </cell>
          <cell r="Y5250">
            <v>0</v>
          </cell>
          <cell r="AE5250">
            <v>0</v>
          </cell>
          <cell r="AF5250">
            <v>0</v>
          </cell>
          <cell r="AK5250">
            <v>4.43</v>
          </cell>
          <cell r="AV5250">
            <v>1</v>
          </cell>
          <cell r="AW5250">
            <v>1</v>
          </cell>
          <cell r="BC5250">
            <v>1</v>
          </cell>
          <cell r="BZ5250">
            <v>0</v>
          </cell>
          <cell r="CA5250">
            <v>0</v>
          </cell>
          <cell r="CS5250">
            <v>0</v>
          </cell>
        </row>
        <row r="5251">
          <cell r="F5251" t="str">
            <v>5.4-1201-1-1/1</v>
          </cell>
          <cell r="G5251" t="str">
            <v>Сбор случайного мусора по территории</v>
          </cell>
          <cell r="H5251" t="str">
            <v>100 м2</v>
          </cell>
          <cell r="I5251">
            <v>5.7366000000000001</v>
          </cell>
          <cell r="P5251">
            <v>5256.56</v>
          </cell>
          <cell r="S5251">
            <v>94465.74</v>
          </cell>
          <cell r="U5251">
            <v>380.91024000000004</v>
          </cell>
          <cell r="X5251">
            <v>66126.02</v>
          </cell>
          <cell r="Y5251">
            <v>9446.57</v>
          </cell>
          <cell r="AE5251">
            <v>0</v>
          </cell>
          <cell r="AF5251">
            <v>16467.2</v>
          </cell>
          <cell r="AL5251">
            <v>0.69</v>
          </cell>
          <cell r="AO5251">
            <v>12.4</v>
          </cell>
          <cell r="AQ5251">
            <v>0.05</v>
          </cell>
          <cell r="AT5251">
            <v>70</v>
          </cell>
          <cell r="AU5251">
            <v>10</v>
          </cell>
          <cell r="AV5251">
            <v>1</v>
          </cell>
          <cell r="AW5251">
            <v>1</v>
          </cell>
          <cell r="BA5251">
            <v>1</v>
          </cell>
          <cell r="BC5251">
            <v>1</v>
          </cell>
          <cell r="BZ5251">
            <v>70</v>
          </cell>
          <cell r="CA5251">
            <v>10</v>
          </cell>
          <cell r="CS5251">
            <v>0</v>
          </cell>
          <cell r="DD5251" t="str">
            <v>)*4*332</v>
          </cell>
          <cell r="DG5251" t="str">
            <v>)*4*332</v>
          </cell>
          <cell r="DI5251" t="str">
            <v>)*4*332</v>
          </cell>
        </row>
        <row r="5253">
          <cell r="G5253" t="str">
            <v>Содержание покрытий ( S=573,66 м2)..</v>
          </cell>
        </row>
        <row r="5283">
          <cell r="G5283" t="str">
            <v>Уход за бортовыми камнями</v>
          </cell>
        </row>
        <row r="5287">
          <cell r="F5287" t="str">
            <v>калькуляция</v>
          </cell>
          <cell r="G5287" t="str">
            <v>Уход за бортовыми камнями(  подметание вручную)</v>
          </cell>
          <cell r="H5287" t="str">
            <v>м2</v>
          </cell>
          <cell r="I5287">
            <v>28.82</v>
          </cell>
          <cell r="S5287">
            <v>5860.84</v>
          </cell>
          <cell r="X5287">
            <v>0</v>
          </cell>
          <cell r="Y5287">
            <v>0</v>
          </cell>
          <cell r="AE5287">
            <v>0</v>
          </cell>
          <cell r="AF5287">
            <v>203.36</v>
          </cell>
          <cell r="AO5287">
            <v>1.24</v>
          </cell>
          <cell r="AV5287">
            <v>1</v>
          </cell>
          <cell r="BA5287">
            <v>1</v>
          </cell>
          <cell r="BZ5287">
            <v>0</v>
          </cell>
          <cell r="CA5287">
            <v>0</v>
          </cell>
          <cell r="CS5287">
            <v>0</v>
          </cell>
          <cell r="DG5287" t="str">
            <v>)*1*164</v>
          </cell>
        </row>
        <row r="5288">
          <cell r="F5288" t="str">
            <v>5.3-1102-8-1/1</v>
          </cell>
          <cell r="G5288" t="str">
            <v>Уборка свежевыпавшего снега вручную толщиной слоя до 10 см</v>
          </cell>
          <cell r="H5288" t="str">
            <v>100 м2</v>
          </cell>
          <cell r="I5288">
            <v>0.28820000000000001</v>
          </cell>
          <cell r="S5288">
            <v>31209.98</v>
          </cell>
          <cell r="U5288">
            <v>125.88576</v>
          </cell>
          <cell r="X5288">
            <v>21846.99</v>
          </cell>
          <cell r="Y5288">
            <v>3121</v>
          </cell>
          <cell r="AE5288">
            <v>0</v>
          </cell>
          <cell r="AF5288">
            <v>108292.8</v>
          </cell>
          <cell r="AO5288">
            <v>161.15</v>
          </cell>
          <cell r="AQ5288">
            <v>0.65</v>
          </cell>
          <cell r="AT5288">
            <v>70</v>
          </cell>
          <cell r="AU5288">
            <v>10</v>
          </cell>
          <cell r="AV5288">
            <v>1</v>
          </cell>
          <cell r="BA5288">
            <v>1</v>
          </cell>
          <cell r="BZ5288">
            <v>70</v>
          </cell>
          <cell r="CA5288">
            <v>10</v>
          </cell>
          <cell r="CS5288">
            <v>0</v>
          </cell>
          <cell r="DG5288" t="str">
            <v>)*4*168</v>
          </cell>
          <cell r="DI5288" t="str">
            <v>)*4*168</v>
          </cell>
        </row>
        <row r="5290">
          <cell r="G5290" t="str">
            <v>Уход за бортовыми камнями</v>
          </cell>
        </row>
        <row r="5320">
          <cell r="G5320" t="str">
            <v>Уход за покрытием пандуса</v>
          </cell>
        </row>
        <row r="5324">
          <cell r="F5324" t="str">
            <v>калькуляция</v>
          </cell>
          <cell r="G5324" t="str">
            <v>Подметание дорожек  вручную ( S=18 м2)</v>
          </cell>
          <cell r="H5324" t="str">
            <v>м2</v>
          </cell>
          <cell r="I5324">
            <v>18</v>
          </cell>
          <cell r="S5324">
            <v>15586.56</v>
          </cell>
          <cell r="X5324">
            <v>0</v>
          </cell>
          <cell r="Y5324">
            <v>0</v>
          </cell>
          <cell r="AE5324">
            <v>0</v>
          </cell>
          <cell r="AF5324">
            <v>865.92</v>
          </cell>
          <cell r="AO5324">
            <v>1.32</v>
          </cell>
          <cell r="AV5324">
            <v>1</v>
          </cell>
          <cell r="BA5324">
            <v>1</v>
          </cell>
          <cell r="BZ5324">
            <v>0</v>
          </cell>
          <cell r="CA5324">
            <v>0</v>
          </cell>
          <cell r="CS5324">
            <v>0</v>
          </cell>
          <cell r="DG5324" t="str">
            <v>)*4*164</v>
          </cell>
        </row>
        <row r="5325">
          <cell r="F5325" t="str">
            <v>5.3-1102-8-1/1</v>
          </cell>
          <cell r="G5325" t="str">
            <v>Уборка свежевыпавшего снега вручную толщиной слоя до 10 см ( S=18 м2*0,7*0,5=6,3 м2 )</v>
          </cell>
          <cell r="H5325" t="str">
            <v>100 м2</v>
          </cell>
          <cell r="I5325">
            <v>6.3E-2</v>
          </cell>
          <cell r="S5325">
            <v>6822.45</v>
          </cell>
          <cell r="U5325">
            <v>27.5184</v>
          </cell>
          <cell r="X5325">
            <v>4775.72</v>
          </cell>
          <cell r="Y5325">
            <v>682.25</v>
          </cell>
          <cell r="AE5325">
            <v>0</v>
          </cell>
          <cell r="AF5325">
            <v>108292.8</v>
          </cell>
          <cell r="AO5325">
            <v>161.15</v>
          </cell>
          <cell r="AQ5325">
            <v>0.65</v>
          </cell>
          <cell r="AT5325">
            <v>70</v>
          </cell>
          <cell r="AU5325">
            <v>10</v>
          </cell>
          <cell r="AV5325">
            <v>1</v>
          </cell>
          <cell r="BA5325">
            <v>1</v>
          </cell>
          <cell r="BZ5325">
            <v>70</v>
          </cell>
          <cell r="CA5325">
            <v>10</v>
          </cell>
          <cell r="CS5325">
            <v>0</v>
          </cell>
          <cell r="DG5325" t="str">
            <v>*4*168</v>
          </cell>
          <cell r="DI5325" t="str">
            <v>*4*168</v>
          </cell>
        </row>
        <row r="5326">
          <cell r="F5326" t="str">
            <v>5.3-1102-8-3/1</v>
          </cell>
          <cell r="G5326" t="str">
            <v>Уборка слежавшегося снега вручную ( S= 18 м2*0,7*0,5=6,3 м2)</v>
          </cell>
          <cell r="H5326" t="str">
            <v>100 м2</v>
          </cell>
          <cell r="I5326">
            <v>6.3E-2</v>
          </cell>
          <cell r="S5326">
            <v>4014.83</v>
          </cell>
          <cell r="U5326">
            <v>16.193520000000003</v>
          </cell>
          <cell r="X5326">
            <v>2810.38</v>
          </cell>
          <cell r="Y5326">
            <v>401.48</v>
          </cell>
          <cell r="AE5326">
            <v>0</v>
          </cell>
          <cell r="AF5326">
            <v>63727.44</v>
          </cell>
          <cell r="AO5326">
            <v>379.33</v>
          </cell>
          <cell r="AQ5326">
            <v>1.53</v>
          </cell>
          <cell r="AT5326">
            <v>70</v>
          </cell>
          <cell r="AU5326">
            <v>10</v>
          </cell>
          <cell r="AV5326">
            <v>1</v>
          </cell>
          <cell r="BA5326">
            <v>1</v>
          </cell>
          <cell r="BZ5326">
            <v>70</v>
          </cell>
          <cell r="CA5326">
            <v>10</v>
          </cell>
          <cell r="CS5326">
            <v>0</v>
          </cell>
          <cell r="DG5326" t="str">
            <v>)*1*168</v>
          </cell>
          <cell r="DI5326" t="str">
            <v>)*1*168</v>
          </cell>
        </row>
        <row r="5327">
          <cell r="F5327" t="str">
            <v>5.3-1102-8-1/1</v>
          </cell>
          <cell r="G5327" t="str">
            <v>Уборка свежевыпавшего снега вручную толщиной слоя до 10 см ( S= 18 м2*0,3*0,5=2,7м2)</v>
          </cell>
          <cell r="H5327" t="str">
            <v>100 м2</v>
          </cell>
          <cell r="I5327">
            <v>2.7E-2</v>
          </cell>
          <cell r="S5327">
            <v>2923.91</v>
          </cell>
          <cell r="U5327">
            <v>11.7936</v>
          </cell>
          <cell r="X5327">
            <v>2046.74</v>
          </cell>
          <cell r="Y5327">
            <v>292.39</v>
          </cell>
          <cell r="AE5327">
            <v>0</v>
          </cell>
          <cell r="AF5327">
            <v>108292.8</v>
          </cell>
          <cell r="AO5327">
            <v>161.15</v>
          </cell>
          <cell r="AQ5327">
            <v>0.65</v>
          </cell>
          <cell r="AT5327">
            <v>70</v>
          </cell>
          <cell r="AU5327">
            <v>10</v>
          </cell>
          <cell r="AV5327">
            <v>1</v>
          </cell>
          <cell r="BA5327">
            <v>1</v>
          </cell>
          <cell r="BZ5327">
            <v>70</v>
          </cell>
          <cell r="CA5327">
            <v>10</v>
          </cell>
          <cell r="CS5327">
            <v>0</v>
          </cell>
          <cell r="DG5327" t="str">
            <v>*4*168</v>
          </cell>
          <cell r="DI5327" t="str">
            <v>*4*168</v>
          </cell>
        </row>
        <row r="5328">
          <cell r="F5328" t="str">
            <v>5.3-1102-8-2/1</v>
          </cell>
          <cell r="G5328" t="str">
            <v>Уборка свежевыпавшего снега вручную, добавлять на каждые следующие 10 см увеличения толщины слоя</v>
          </cell>
          <cell r="H5328" t="str">
            <v>100 м2</v>
          </cell>
          <cell r="I5328">
            <v>2.7E-2</v>
          </cell>
          <cell r="S5328">
            <v>2114.3200000000002</v>
          </cell>
          <cell r="U5328">
            <v>8.5276799999999984</v>
          </cell>
          <cell r="X5328">
            <v>1480.02</v>
          </cell>
          <cell r="Y5328">
            <v>211.43</v>
          </cell>
          <cell r="AE5328">
            <v>0</v>
          </cell>
          <cell r="AF5328">
            <v>78308.160000000003</v>
          </cell>
          <cell r="AO5328">
            <v>116.53</v>
          </cell>
          <cell r="AQ5328">
            <v>0.47</v>
          </cell>
          <cell r="AT5328">
            <v>70</v>
          </cell>
          <cell r="AU5328">
            <v>10</v>
          </cell>
          <cell r="AV5328">
            <v>1</v>
          </cell>
          <cell r="BA5328">
            <v>1</v>
          </cell>
          <cell r="BZ5328">
            <v>70</v>
          </cell>
          <cell r="CA5328">
            <v>10</v>
          </cell>
          <cell r="CS5328">
            <v>0</v>
          </cell>
          <cell r="DG5328" t="str">
            <v>*4*168</v>
          </cell>
          <cell r="DI5328" t="str">
            <v>*4*168</v>
          </cell>
        </row>
        <row r="5329">
          <cell r="F5329" t="str">
            <v>5.3-1102-9-1/1</v>
          </cell>
          <cell r="G5329" t="str">
            <v>Колка льда на обледеневших покрытиях вручную ( S= 18 м2*0,3*0,5= 2,7м2 )</v>
          </cell>
          <cell r="H5329" t="str">
            <v>100 м2</v>
          </cell>
          <cell r="I5329">
            <v>2.7E-2</v>
          </cell>
          <cell r="S5329">
            <v>5420.61</v>
          </cell>
          <cell r="U5329">
            <v>21.863520000000001</v>
          </cell>
          <cell r="X5329">
            <v>3794.43</v>
          </cell>
          <cell r="Y5329">
            <v>542.05999999999995</v>
          </cell>
          <cell r="AE5329">
            <v>0</v>
          </cell>
          <cell r="AF5329">
            <v>200763.36</v>
          </cell>
          <cell r="AO5329">
            <v>597.51</v>
          </cell>
          <cell r="AQ5329">
            <v>2.41</v>
          </cell>
          <cell r="AT5329">
            <v>70</v>
          </cell>
          <cell r="AU5329">
            <v>10</v>
          </cell>
          <cell r="AV5329">
            <v>1</v>
          </cell>
          <cell r="BA5329">
            <v>1</v>
          </cell>
          <cell r="BZ5329">
            <v>70</v>
          </cell>
          <cell r="CA5329">
            <v>10</v>
          </cell>
          <cell r="CS5329">
            <v>0</v>
          </cell>
          <cell r="DG5329" t="str">
            <v>)*2*168</v>
          </cell>
          <cell r="DI5329" t="str">
            <v>)*2*168</v>
          </cell>
        </row>
        <row r="5330">
          <cell r="F5330" t="str">
            <v>калькуляция</v>
          </cell>
          <cell r="G5330" t="str">
            <v>Посыпка  гранитной крошкой дорожных покрытий вручную( 100г/м2 )</v>
          </cell>
          <cell r="H5330" t="str">
            <v>м2</v>
          </cell>
          <cell r="I5330">
            <v>18</v>
          </cell>
          <cell r="S5330">
            <v>25159.68</v>
          </cell>
          <cell r="X5330">
            <v>0</v>
          </cell>
          <cell r="Y5330">
            <v>0</v>
          </cell>
          <cell r="AE5330">
            <v>0</v>
          </cell>
          <cell r="AF5330">
            <v>1397.76</v>
          </cell>
          <cell r="AO5330">
            <v>2.08</v>
          </cell>
          <cell r="AV5330">
            <v>1</v>
          </cell>
          <cell r="BA5330">
            <v>1</v>
          </cell>
          <cell r="BZ5330">
            <v>0</v>
          </cell>
          <cell r="CA5330">
            <v>0</v>
          </cell>
          <cell r="CS5330">
            <v>0</v>
          </cell>
          <cell r="DG5330" t="str">
            <v>*4*168</v>
          </cell>
        </row>
        <row r="5331">
          <cell r="F5331" t="str">
            <v>цена поставщика</v>
          </cell>
          <cell r="G5331" t="str">
            <v>Крошка гранитная</v>
          </cell>
          <cell r="H5331" t="str">
            <v>кг</v>
          </cell>
          <cell r="I5331">
            <v>1209.5999999999999</v>
          </cell>
          <cell r="O5331">
            <v>5358.53</v>
          </cell>
          <cell r="X5331">
            <v>0</v>
          </cell>
          <cell r="Y5331">
            <v>0</v>
          </cell>
          <cell r="AE5331">
            <v>0</v>
          </cell>
          <cell r="AF5331">
            <v>0</v>
          </cell>
          <cell r="AK5331">
            <v>4.43</v>
          </cell>
          <cell r="AV5331">
            <v>1</v>
          </cell>
          <cell r="AW5331">
            <v>1</v>
          </cell>
          <cell r="BC5331">
            <v>1</v>
          </cell>
          <cell r="BZ5331">
            <v>0</v>
          </cell>
          <cell r="CA5331">
            <v>0</v>
          </cell>
          <cell r="CS5331">
            <v>0</v>
          </cell>
        </row>
        <row r="5332">
          <cell r="F5332" t="str">
            <v>5.4-1201-1-1/1</v>
          </cell>
          <cell r="G5332" t="str">
            <v>Сбор случайного мусора по территории</v>
          </cell>
          <cell r="H5332" t="str">
            <v>100 м2</v>
          </cell>
          <cell r="I5332">
            <v>0.18</v>
          </cell>
          <cell r="P5332">
            <v>164.94</v>
          </cell>
          <cell r="S5332">
            <v>2964.1</v>
          </cell>
          <cell r="U5332">
            <v>11.952</v>
          </cell>
          <cell r="X5332">
            <v>2074.87</v>
          </cell>
          <cell r="Y5332">
            <v>296.41000000000003</v>
          </cell>
          <cell r="AE5332">
            <v>0</v>
          </cell>
          <cell r="AF5332">
            <v>16467.2</v>
          </cell>
          <cell r="AL5332">
            <v>0.69</v>
          </cell>
          <cell r="AO5332">
            <v>12.4</v>
          </cell>
          <cell r="AQ5332">
            <v>0.05</v>
          </cell>
          <cell r="AT5332">
            <v>70</v>
          </cell>
          <cell r="AU5332">
            <v>10</v>
          </cell>
          <cell r="AV5332">
            <v>1</v>
          </cell>
          <cell r="AW5332">
            <v>1</v>
          </cell>
          <cell r="BA5332">
            <v>1</v>
          </cell>
          <cell r="BC5332">
            <v>1</v>
          </cell>
          <cell r="BZ5332">
            <v>70</v>
          </cell>
          <cell r="CA5332">
            <v>10</v>
          </cell>
          <cell r="CS5332">
            <v>0</v>
          </cell>
          <cell r="DD5332" t="str">
            <v>)*4*332</v>
          </cell>
          <cell r="DG5332" t="str">
            <v>)*4*332</v>
          </cell>
          <cell r="DI5332" t="str">
            <v>)*4*332</v>
          </cell>
        </row>
        <row r="5334">
          <cell r="G5334" t="str">
            <v>Уход за покрытием пандуса</v>
          </cell>
        </row>
        <row r="5364">
          <cell r="G5364" t="str">
            <v>Китайгородский проезд ( S=573,66 м2 ).</v>
          </cell>
        </row>
        <row r="5394">
          <cell r="G5394" t="str">
            <v>Сбор и перемещение снега и скола к месту временного размещения( 2024г.)</v>
          </cell>
        </row>
        <row r="5398">
          <cell r="F5398" t="str">
            <v>5.3-1102-25-1/1</v>
          </cell>
          <cell r="G5398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    </cell>
          <cell r="H5398" t="str">
            <v>м3</v>
          </cell>
          <cell r="I5398">
            <v>243.5</v>
          </cell>
          <cell r="Q5398">
            <v>93053.53</v>
          </cell>
          <cell r="R5398">
            <v>44940.36</v>
          </cell>
          <cell r="S5398">
            <v>22336.26</v>
          </cell>
          <cell r="U5398">
            <v>90.094999999999999</v>
          </cell>
          <cell r="X5398">
            <v>15635.38</v>
          </cell>
          <cell r="Y5398">
            <v>2233.63</v>
          </cell>
          <cell r="AE5398">
            <v>184.56</v>
          </cell>
          <cell r="AF5398">
            <v>91.73</v>
          </cell>
          <cell r="AM5398">
            <v>382.15</v>
          </cell>
          <cell r="AN5398">
            <v>184.56</v>
          </cell>
          <cell r="AO5398">
            <v>91.73</v>
          </cell>
          <cell r="AQ5398">
            <v>0.37</v>
          </cell>
          <cell r="AT5398">
            <v>70</v>
          </cell>
          <cell r="AU5398">
            <v>10</v>
          </cell>
          <cell r="AV5398">
            <v>1</v>
          </cell>
          <cell r="BA5398">
            <v>1</v>
          </cell>
          <cell r="BB5398">
            <v>1</v>
          </cell>
          <cell r="BS5398">
            <v>1</v>
          </cell>
          <cell r="BZ5398">
            <v>70</v>
          </cell>
          <cell r="CA5398">
            <v>10</v>
          </cell>
          <cell r="CS5398">
            <v>184.56</v>
          </cell>
          <cell r="DE5398" t="str">
            <v>)*1</v>
          </cell>
          <cell r="DF5398" t="str">
            <v>)*1</v>
          </cell>
          <cell r="DG5398" t="str">
            <v>)*1</v>
          </cell>
          <cell r="DI5398" t="str">
            <v>)*1</v>
          </cell>
        </row>
        <row r="5399">
          <cell r="F5399" t="str">
            <v>5.3-1102-25-2/1</v>
          </cell>
          <cell r="G5399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399" t="str">
            <v>м3</v>
          </cell>
          <cell r="I5399">
            <v>-243.5</v>
          </cell>
          <cell r="Q5399">
            <v>-24087.02</v>
          </cell>
          <cell r="R5399">
            <v>-11629.56</v>
          </cell>
          <cell r="S5399">
            <v>-7246.56</v>
          </cell>
          <cell r="U5399">
            <v>-29.22</v>
          </cell>
          <cell r="X5399">
            <v>-5072.59</v>
          </cell>
          <cell r="Y5399">
            <v>-724.66</v>
          </cell>
          <cell r="AE5399">
            <v>47.76</v>
          </cell>
          <cell r="AF5399">
            <v>29.76</v>
          </cell>
          <cell r="AM5399">
            <v>24.73</v>
          </cell>
          <cell r="AN5399">
            <v>11.94</v>
          </cell>
          <cell r="AO5399">
            <v>7.44</v>
          </cell>
          <cell r="AQ5399">
            <v>0.03</v>
          </cell>
          <cell r="AT5399">
            <v>70</v>
          </cell>
          <cell r="AU5399">
            <v>10</v>
          </cell>
          <cell r="AV5399">
            <v>1</v>
          </cell>
          <cell r="BA5399">
            <v>1</v>
          </cell>
          <cell r="BB5399">
            <v>1</v>
          </cell>
          <cell r="BS5399">
            <v>1</v>
          </cell>
          <cell r="BZ5399">
            <v>70</v>
          </cell>
          <cell r="CA5399">
            <v>10</v>
          </cell>
          <cell r="CS5399">
            <v>47.76</v>
          </cell>
          <cell r="DE5399" t="str">
            <v>)*4</v>
          </cell>
          <cell r="DF5399" t="str">
            <v>)*4</v>
          </cell>
          <cell r="DG5399" t="str">
            <v>)*4</v>
          </cell>
          <cell r="DI5399" t="str">
            <v>)*4</v>
          </cell>
        </row>
        <row r="5400">
          <cell r="F5400" t="str">
            <v>5.3-1102-25-1/1</v>
          </cell>
          <cell r="G5400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    </cell>
          <cell r="H5400" t="str">
            <v>м3</v>
          </cell>
          <cell r="I5400">
            <v>243.5</v>
          </cell>
          <cell r="Q5400">
            <v>93053.53</v>
          </cell>
          <cell r="R5400">
            <v>44940.36</v>
          </cell>
          <cell r="S5400">
            <v>22336.26</v>
          </cell>
          <cell r="U5400">
            <v>90.094999999999999</v>
          </cell>
          <cell r="X5400">
            <v>15635.38</v>
          </cell>
          <cell r="Y5400">
            <v>2233.63</v>
          </cell>
          <cell r="AE5400">
            <v>184.56</v>
          </cell>
          <cell r="AF5400">
            <v>91.73</v>
          </cell>
          <cell r="AM5400">
            <v>382.15</v>
          </cell>
          <cell r="AN5400">
            <v>184.56</v>
          </cell>
          <cell r="AO5400">
            <v>91.73</v>
          </cell>
          <cell r="AQ5400">
            <v>0.37</v>
          </cell>
          <cell r="AT5400">
            <v>70</v>
          </cell>
          <cell r="AU5400">
            <v>10</v>
          </cell>
          <cell r="AV5400">
            <v>1</v>
          </cell>
          <cell r="BA5400">
            <v>1</v>
          </cell>
          <cell r="BB5400">
            <v>1</v>
          </cell>
          <cell r="BS5400">
            <v>1</v>
          </cell>
          <cell r="BZ5400">
            <v>70</v>
          </cell>
          <cell r="CA5400">
            <v>10</v>
          </cell>
          <cell r="CS5400">
            <v>184.56</v>
          </cell>
          <cell r="DE5400" t="str">
            <v>)*1</v>
          </cell>
          <cell r="DF5400" t="str">
            <v>)*1</v>
          </cell>
          <cell r="DG5400" t="str">
            <v>)*1</v>
          </cell>
          <cell r="DI5400" t="str">
            <v>)*1</v>
          </cell>
        </row>
        <row r="5401">
          <cell r="F5401" t="str">
            <v>5.3-1102-25-2/1</v>
          </cell>
          <cell r="G5401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01" t="str">
            <v>м3</v>
          </cell>
          <cell r="I5401">
            <v>-243.5</v>
          </cell>
          <cell r="Q5401">
            <v>-18065.27</v>
          </cell>
          <cell r="R5401">
            <v>-8722.17</v>
          </cell>
          <cell r="S5401">
            <v>-5434.92</v>
          </cell>
          <cell r="U5401">
            <v>-21.914999999999999</v>
          </cell>
          <cell r="X5401">
            <v>-3804.44</v>
          </cell>
          <cell r="Y5401">
            <v>-543.49</v>
          </cell>
          <cell r="AE5401">
            <v>35.82</v>
          </cell>
          <cell r="AF5401">
            <v>22.32</v>
          </cell>
          <cell r="AM5401">
            <v>24.73</v>
          </cell>
          <cell r="AN5401">
            <v>11.94</v>
          </cell>
          <cell r="AO5401">
            <v>7.44</v>
          </cell>
          <cell r="AQ5401">
            <v>0.03</v>
          </cell>
          <cell r="AT5401">
            <v>70</v>
          </cell>
          <cell r="AU5401">
            <v>10</v>
          </cell>
          <cell r="AV5401">
            <v>1</v>
          </cell>
          <cell r="BA5401">
            <v>1</v>
          </cell>
          <cell r="BB5401">
            <v>1</v>
          </cell>
          <cell r="BS5401">
            <v>1</v>
          </cell>
          <cell r="BZ5401">
            <v>70</v>
          </cell>
          <cell r="CA5401">
            <v>10</v>
          </cell>
          <cell r="CS5401">
            <v>35.82</v>
          </cell>
          <cell r="DE5401" t="str">
            <v>)*3</v>
          </cell>
          <cell r="DF5401" t="str">
            <v>)*3</v>
          </cell>
          <cell r="DG5401" t="str">
            <v>)*3</v>
          </cell>
          <cell r="DI5401" t="str">
            <v>)*3</v>
          </cell>
        </row>
        <row r="5402">
          <cell r="F5402" t="str">
            <v>5.3-1102-25-1/1</v>
          </cell>
          <cell r="G5402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    </cell>
          <cell r="H5402" t="str">
            <v>м3</v>
          </cell>
          <cell r="I5402">
            <v>243.5</v>
          </cell>
          <cell r="Q5402">
            <v>93053.53</v>
          </cell>
          <cell r="R5402">
            <v>44940.36</v>
          </cell>
          <cell r="S5402">
            <v>22336.26</v>
          </cell>
          <cell r="U5402">
            <v>90.094999999999999</v>
          </cell>
          <cell r="X5402">
            <v>15635.38</v>
          </cell>
          <cell r="Y5402">
            <v>2233.63</v>
          </cell>
          <cell r="AE5402">
            <v>184.56</v>
          </cell>
          <cell r="AF5402">
            <v>91.73</v>
          </cell>
          <cell r="AM5402">
            <v>382.15</v>
          </cell>
          <cell r="AN5402">
            <v>184.56</v>
          </cell>
          <cell r="AO5402">
            <v>91.73</v>
          </cell>
          <cell r="AQ5402">
            <v>0.37</v>
          </cell>
          <cell r="AT5402">
            <v>70</v>
          </cell>
          <cell r="AU5402">
            <v>10</v>
          </cell>
          <cell r="AV5402">
            <v>1</v>
          </cell>
          <cell r="BA5402">
            <v>1</v>
          </cell>
          <cell r="BB5402">
            <v>1</v>
          </cell>
          <cell r="BS5402">
            <v>1</v>
          </cell>
          <cell r="BZ5402">
            <v>70</v>
          </cell>
          <cell r="CA5402">
            <v>10</v>
          </cell>
          <cell r="CS5402">
            <v>184.56</v>
          </cell>
          <cell r="DE5402" t="str">
            <v>)*1</v>
          </cell>
          <cell r="DF5402" t="str">
            <v>)*1</v>
          </cell>
          <cell r="DG5402" t="str">
            <v>)*1</v>
          </cell>
          <cell r="DI5402" t="str">
            <v>)*1</v>
          </cell>
        </row>
        <row r="5403">
          <cell r="F5403" t="str">
            <v>5.3-1102-25-2/1</v>
          </cell>
          <cell r="G5403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03" t="str">
            <v>м3</v>
          </cell>
          <cell r="I5403">
            <v>-243.5</v>
          </cell>
          <cell r="Q5403">
            <v>-12043.51</v>
          </cell>
          <cell r="R5403">
            <v>-5814.78</v>
          </cell>
          <cell r="S5403">
            <v>-3623.28</v>
          </cell>
          <cell r="U5403">
            <v>-14.61</v>
          </cell>
          <cell r="X5403">
            <v>-2536.3000000000002</v>
          </cell>
          <cell r="Y5403">
            <v>-362.33</v>
          </cell>
          <cell r="AE5403">
            <v>23.88</v>
          </cell>
          <cell r="AF5403">
            <v>14.88</v>
          </cell>
          <cell r="AM5403">
            <v>24.73</v>
          </cell>
          <cell r="AN5403">
            <v>11.94</v>
          </cell>
          <cell r="AO5403">
            <v>7.44</v>
          </cell>
          <cell r="AQ5403">
            <v>0.03</v>
          </cell>
          <cell r="AT5403">
            <v>70</v>
          </cell>
          <cell r="AU5403">
            <v>10</v>
          </cell>
          <cell r="AV5403">
            <v>1</v>
          </cell>
          <cell r="BA5403">
            <v>1</v>
          </cell>
          <cell r="BB5403">
            <v>1</v>
          </cell>
          <cell r="BS5403">
            <v>1</v>
          </cell>
          <cell r="BZ5403">
            <v>70</v>
          </cell>
          <cell r="CA5403">
            <v>10</v>
          </cell>
          <cell r="CS5403">
            <v>23.88</v>
          </cell>
          <cell r="DE5403" t="str">
            <v>)*2</v>
          </cell>
          <cell r="DF5403" t="str">
            <v>)*2</v>
          </cell>
          <cell r="DG5403" t="str">
            <v>)*2</v>
          </cell>
          <cell r="DI5403" t="str">
            <v>)*2</v>
          </cell>
        </row>
        <row r="5404">
          <cell r="F5404" t="str">
            <v>5.3-1102-25-1/1</v>
          </cell>
          <cell r="G5404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    </cell>
          <cell r="H5404" t="str">
            <v>м3</v>
          </cell>
          <cell r="I5404">
            <v>243.5</v>
          </cell>
          <cell r="Q5404">
            <v>93053.53</v>
          </cell>
          <cell r="R5404">
            <v>44940.36</v>
          </cell>
          <cell r="S5404">
            <v>22336.26</v>
          </cell>
          <cell r="U5404">
            <v>90.094999999999999</v>
          </cell>
          <cell r="X5404">
            <v>15635.38</v>
          </cell>
          <cell r="Y5404">
            <v>2233.63</v>
          </cell>
          <cell r="AE5404">
            <v>184.56</v>
          </cell>
          <cell r="AF5404">
            <v>91.73</v>
          </cell>
          <cell r="AM5404">
            <v>382.15</v>
          </cell>
          <cell r="AN5404">
            <v>184.56</v>
          </cell>
          <cell r="AO5404">
            <v>91.73</v>
          </cell>
          <cell r="AQ5404">
            <v>0.37</v>
          </cell>
          <cell r="AT5404">
            <v>70</v>
          </cell>
          <cell r="AU5404">
            <v>10</v>
          </cell>
          <cell r="AV5404">
            <v>1</v>
          </cell>
          <cell r="BA5404">
            <v>1</v>
          </cell>
          <cell r="BB5404">
            <v>1</v>
          </cell>
          <cell r="BS5404">
            <v>1</v>
          </cell>
          <cell r="BZ5404">
            <v>70</v>
          </cell>
          <cell r="CA5404">
            <v>10</v>
          </cell>
          <cell r="CS5404">
            <v>184.56</v>
          </cell>
          <cell r="DE5404" t="str">
            <v>)*1</v>
          </cell>
          <cell r="DF5404" t="str">
            <v>)*1</v>
          </cell>
          <cell r="DG5404" t="str">
            <v>)*1</v>
          </cell>
          <cell r="DI5404" t="str">
            <v>)*1</v>
          </cell>
        </row>
        <row r="5405">
          <cell r="F5405" t="str">
            <v>5.3-1102-25-2/1</v>
          </cell>
          <cell r="G5405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05" t="str">
            <v>м3</v>
          </cell>
          <cell r="I5405">
            <v>-243.5</v>
          </cell>
          <cell r="Q5405">
            <v>-6021.76</v>
          </cell>
          <cell r="R5405">
            <v>-2907.39</v>
          </cell>
          <cell r="S5405">
            <v>-1811.64</v>
          </cell>
          <cell r="U5405">
            <v>-7.3049999999999997</v>
          </cell>
          <cell r="X5405">
            <v>-1268.1500000000001</v>
          </cell>
          <cell r="Y5405">
            <v>-181.16</v>
          </cell>
          <cell r="AE5405">
            <v>11.94</v>
          </cell>
          <cell r="AF5405">
            <v>7.44</v>
          </cell>
          <cell r="AM5405">
            <v>24.73</v>
          </cell>
          <cell r="AN5405">
            <v>11.94</v>
          </cell>
          <cell r="AO5405">
            <v>7.44</v>
          </cell>
          <cell r="AQ5405">
            <v>0.03</v>
          </cell>
          <cell r="AT5405">
            <v>70</v>
          </cell>
          <cell r="AU5405">
            <v>10</v>
          </cell>
          <cell r="AV5405">
            <v>1</v>
          </cell>
          <cell r="BA5405">
            <v>1</v>
          </cell>
          <cell r="BB5405">
            <v>1</v>
          </cell>
          <cell r="BS5405">
            <v>1</v>
          </cell>
          <cell r="BZ5405">
            <v>70</v>
          </cell>
          <cell r="CA5405">
            <v>10</v>
          </cell>
          <cell r="CS5405">
            <v>11.94</v>
          </cell>
          <cell r="DE5405" t="str">
            <v>)*1</v>
          </cell>
          <cell r="DF5405" t="str">
            <v>)*1</v>
          </cell>
          <cell r="DG5405" t="str">
            <v>)*1</v>
          </cell>
          <cell r="DI5405" t="str">
            <v>)*1</v>
          </cell>
        </row>
        <row r="5407">
          <cell r="G5407" t="str">
            <v>Сбор и перемещение снега и скола к месту временного размещения( 2024г.)</v>
          </cell>
        </row>
        <row r="5437">
          <cell r="G5437" t="str">
            <v>Сбор и перемещение снега и скола к месту временного размещения( 2025г.)</v>
          </cell>
        </row>
        <row r="5441">
          <cell r="F5441" t="str">
            <v>5.3-1102-25-1/1</v>
          </cell>
          <cell r="G5441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    </cell>
          <cell r="H5441" t="str">
            <v>м3</v>
          </cell>
          <cell r="I5441">
            <v>502</v>
          </cell>
          <cell r="Q5441">
            <v>191839.3</v>
          </cell>
          <cell r="R5441">
            <v>92649.12</v>
          </cell>
          <cell r="S5441">
            <v>46048.46</v>
          </cell>
          <cell r="U5441">
            <v>185.74</v>
          </cell>
          <cell r="X5441">
            <v>32233.919999999998</v>
          </cell>
          <cell r="Y5441">
            <v>4604.8500000000004</v>
          </cell>
          <cell r="AE5441">
            <v>184.56</v>
          </cell>
          <cell r="AF5441">
            <v>91.73</v>
          </cell>
          <cell r="AM5441">
            <v>382.15</v>
          </cell>
          <cell r="AN5441">
            <v>184.56</v>
          </cell>
          <cell r="AO5441">
            <v>91.73</v>
          </cell>
          <cell r="AQ5441">
            <v>0.37</v>
          </cell>
          <cell r="AT5441">
            <v>70</v>
          </cell>
          <cell r="AU5441">
            <v>10</v>
          </cell>
          <cell r="AV5441">
            <v>1</v>
          </cell>
          <cell r="BA5441">
            <v>1</v>
          </cell>
          <cell r="BB5441">
            <v>1</v>
          </cell>
          <cell r="BS5441">
            <v>1</v>
          </cell>
          <cell r="BZ5441">
            <v>70</v>
          </cell>
          <cell r="CA5441">
            <v>10</v>
          </cell>
          <cell r="CS5441">
            <v>184.56</v>
          </cell>
          <cell r="DE5441" t="str">
            <v>)*1</v>
          </cell>
          <cell r="DF5441" t="str">
            <v>)*1</v>
          </cell>
          <cell r="DG5441" t="str">
            <v>)*1</v>
          </cell>
          <cell r="DI5441" t="str">
            <v>)*1</v>
          </cell>
        </row>
        <row r="5442">
          <cell r="F5442" t="str">
            <v>5.3-1102-25-2/1</v>
          </cell>
          <cell r="G5442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42" t="str">
            <v>м3</v>
          </cell>
          <cell r="I5442">
            <v>-502</v>
          </cell>
          <cell r="Q5442">
            <v>-49657.84</v>
          </cell>
          <cell r="R5442">
            <v>-23975.52</v>
          </cell>
          <cell r="S5442">
            <v>-14939.52</v>
          </cell>
          <cell r="U5442">
            <v>-60.239999999999995</v>
          </cell>
          <cell r="X5442">
            <v>-10457.66</v>
          </cell>
          <cell r="Y5442">
            <v>-1493.95</v>
          </cell>
          <cell r="AE5442">
            <v>47.76</v>
          </cell>
          <cell r="AF5442">
            <v>29.76</v>
          </cell>
          <cell r="AM5442">
            <v>24.73</v>
          </cell>
          <cell r="AN5442">
            <v>11.94</v>
          </cell>
          <cell r="AO5442">
            <v>7.44</v>
          </cell>
          <cell r="AQ5442">
            <v>0.03</v>
          </cell>
          <cell r="AT5442">
            <v>70</v>
          </cell>
          <cell r="AU5442">
            <v>10</v>
          </cell>
          <cell r="AV5442">
            <v>1</v>
          </cell>
          <cell r="BA5442">
            <v>1</v>
          </cell>
          <cell r="BB5442">
            <v>1</v>
          </cell>
          <cell r="BS5442">
            <v>1</v>
          </cell>
          <cell r="BZ5442">
            <v>70</v>
          </cell>
          <cell r="CA5442">
            <v>10</v>
          </cell>
          <cell r="CS5442">
            <v>47.76</v>
          </cell>
          <cell r="DE5442" t="str">
            <v>)*4</v>
          </cell>
          <cell r="DF5442" t="str">
            <v>)*4</v>
          </cell>
          <cell r="DG5442" t="str">
            <v>)*4</v>
          </cell>
          <cell r="DI5442" t="str">
            <v>)*4</v>
          </cell>
        </row>
        <row r="5443">
          <cell r="F5443" t="str">
            <v>5.3-1102-25-1/1</v>
          </cell>
          <cell r="G5443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    </cell>
          <cell r="H5443" t="str">
            <v>м3</v>
          </cell>
          <cell r="I5443">
            <v>502</v>
          </cell>
          <cell r="Q5443">
            <v>191839.3</v>
          </cell>
          <cell r="R5443">
            <v>92649.12</v>
          </cell>
          <cell r="S5443">
            <v>46048.46</v>
          </cell>
          <cell r="U5443">
            <v>185.74</v>
          </cell>
          <cell r="X5443">
            <v>32233.919999999998</v>
          </cell>
          <cell r="Y5443">
            <v>4604.8500000000004</v>
          </cell>
          <cell r="AE5443">
            <v>184.56</v>
          </cell>
          <cell r="AF5443">
            <v>91.73</v>
          </cell>
          <cell r="AM5443">
            <v>382.15</v>
          </cell>
          <cell r="AN5443">
            <v>184.56</v>
          </cell>
          <cell r="AO5443">
            <v>91.73</v>
          </cell>
          <cell r="AQ5443">
            <v>0.37</v>
          </cell>
          <cell r="AT5443">
            <v>70</v>
          </cell>
          <cell r="AU5443">
            <v>10</v>
          </cell>
          <cell r="AV5443">
            <v>1</v>
          </cell>
          <cell r="BA5443">
            <v>1</v>
          </cell>
          <cell r="BB5443">
            <v>1</v>
          </cell>
          <cell r="BS5443">
            <v>1</v>
          </cell>
          <cell r="BZ5443">
            <v>70</v>
          </cell>
          <cell r="CA5443">
            <v>10</v>
          </cell>
          <cell r="CS5443">
            <v>184.56</v>
          </cell>
          <cell r="DE5443" t="str">
            <v>)*1</v>
          </cell>
          <cell r="DF5443" t="str">
            <v>)*1</v>
          </cell>
          <cell r="DG5443" t="str">
            <v>)*1</v>
          </cell>
          <cell r="DI5443" t="str">
            <v>)*1</v>
          </cell>
        </row>
        <row r="5444">
          <cell r="F5444" t="str">
            <v>5.3-1102-25-2/1</v>
          </cell>
          <cell r="G5444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44" t="str">
            <v>м3</v>
          </cell>
          <cell r="I5444">
            <v>-502</v>
          </cell>
          <cell r="Q5444">
            <v>-37243.379999999997</v>
          </cell>
          <cell r="R5444">
            <v>-17981.64</v>
          </cell>
          <cell r="S5444">
            <v>-11204.64</v>
          </cell>
          <cell r="U5444">
            <v>-45.18</v>
          </cell>
          <cell r="X5444">
            <v>-7843.25</v>
          </cell>
          <cell r="Y5444">
            <v>-1120.46</v>
          </cell>
          <cell r="AE5444">
            <v>35.82</v>
          </cell>
          <cell r="AF5444">
            <v>22.32</v>
          </cell>
          <cell r="AM5444">
            <v>24.73</v>
          </cell>
          <cell r="AN5444">
            <v>11.94</v>
          </cell>
          <cell r="AO5444">
            <v>7.44</v>
          </cell>
          <cell r="AQ5444">
            <v>0.03</v>
          </cell>
          <cell r="AT5444">
            <v>70</v>
          </cell>
          <cell r="AU5444">
            <v>10</v>
          </cell>
          <cell r="AV5444">
            <v>1</v>
          </cell>
          <cell r="BA5444">
            <v>1</v>
          </cell>
          <cell r="BB5444">
            <v>1</v>
          </cell>
          <cell r="BS5444">
            <v>1</v>
          </cell>
          <cell r="BZ5444">
            <v>70</v>
          </cell>
          <cell r="CA5444">
            <v>10</v>
          </cell>
          <cell r="CS5444">
            <v>35.82</v>
          </cell>
          <cell r="DE5444" t="str">
            <v>)*3</v>
          </cell>
          <cell r="DF5444" t="str">
            <v>)*3</v>
          </cell>
          <cell r="DG5444" t="str">
            <v>)*3</v>
          </cell>
          <cell r="DI5444" t="str">
            <v>)*3</v>
          </cell>
        </row>
        <row r="5445">
          <cell r="F5445" t="str">
            <v>5.3-1102-25-1/1</v>
          </cell>
          <cell r="G5445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    </cell>
          <cell r="H5445" t="str">
            <v>м3</v>
          </cell>
          <cell r="I5445">
            <v>502</v>
          </cell>
          <cell r="Q5445">
            <v>191839.3</v>
          </cell>
          <cell r="R5445">
            <v>92649.12</v>
          </cell>
          <cell r="S5445">
            <v>46048.46</v>
          </cell>
          <cell r="U5445">
            <v>185.74</v>
          </cell>
          <cell r="X5445">
            <v>32233.919999999998</v>
          </cell>
          <cell r="Y5445">
            <v>4604.8500000000004</v>
          </cell>
          <cell r="AE5445">
            <v>184.56</v>
          </cell>
          <cell r="AF5445">
            <v>91.73</v>
          </cell>
          <cell r="AM5445">
            <v>382.15</v>
          </cell>
          <cell r="AN5445">
            <v>184.56</v>
          </cell>
          <cell r="AO5445">
            <v>91.73</v>
          </cell>
          <cell r="AQ5445">
            <v>0.37</v>
          </cell>
          <cell r="AT5445">
            <v>70</v>
          </cell>
          <cell r="AU5445">
            <v>10</v>
          </cell>
          <cell r="AV5445">
            <v>1</v>
          </cell>
          <cell r="BA5445">
            <v>1</v>
          </cell>
          <cell r="BB5445">
            <v>1</v>
          </cell>
          <cell r="BS5445">
            <v>1</v>
          </cell>
          <cell r="BZ5445">
            <v>70</v>
          </cell>
          <cell r="CA5445">
            <v>10</v>
          </cell>
          <cell r="CS5445">
            <v>184.56</v>
          </cell>
          <cell r="DE5445" t="str">
            <v>)*1</v>
          </cell>
          <cell r="DF5445" t="str">
            <v>)*1</v>
          </cell>
          <cell r="DG5445" t="str">
            <v>)*1</v>
          </cell>
          <cell r="DI5445" t="str">
            <v>)*1</v>
          </cell>
        </row>
        <row r="5446">
          <cell r="F5446" t="str">
            <v>5.3-1102-25-2/1</v>
          </cell>
          <cell r="G5446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46" t="str">
            <v>м3</v>
          </cell>
          <cell r="I5446">
            <v>-502</v>
          </cell>
          <cell r="Q5446">
            <v>-24828.92</v>
          </cell>
          <cell r="R5446">
            <v>-11987.76</v>
          </cell>
          <cell r="S5446">
            <v>-7469.76</v>
          </cell>
          <cell r="U5446">
            <v>-30.119999999999997</v>
          </cell>
          <cell r="X5446">
            <v>-5228.83</v>
          </cell>
          <cell r="Y5446">
            <v>-746.98</v>
          </cell>
          <cell r="AE5446">
            <v>23.88</v>
          </cell>
          <cell r="AF5446">
            <v>14.88</v>
          </cell>
          <cell r="AM5446">
            <v>24.73</v>
          </cell>
          <cell r="AN5446">
            <v>11.94</v>
          </cell>
          <cell r="AO5446">
            <v>7.44</v>
          </cell>
          <cell r="AQ5446">
            <v>0.03</v>
          </cell>
          <cell r="AT5446">
            <v>70</v>
          </cell>
          <cell r="AU5446">
            <v>10</v>
          </cell>
          <cell r="AV5446">
            <v>1</v>
          </cell>
          <cell r="BA5446">
            <v>1</v>
          </cell>
          <cell r="BB5446">
            <v>1</v>
          </cell>
          <cell r="BS5446">
            <v>1</v>
          </cell>
          <cell r="BZ5446">
            <v>70</v>
          </cell>
          <cell r="CA5446">
            <v>10</v>
          </cell>
          <cell r="CS5446">
            <v>23.88</v>
          </cell>
          <cell r="DE5446" t="str">
            <v>)*2</v>
          </cell>
          <cell r="DF5446" t="str">
            <v>)*2</v>
          </cell>
          <cell r="DG5446" t="str">
            <v>)*2</v>
          </cell>
          <cell r="DI5446" t="str">
            <v>)*2</v>
          </cell>
        </row>
        <row r="5447">
          <cell r="F5447" t="str">
            <v>5.3-1102-25-1/1</v>
          </cell>
          <cell r="G5447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    </cell>
          <cell r="H5447" t="str">
            <v>м3</v>
          </cell>
          <cell r="I5447">
            <v>502</v>
          </cell>
          <cell r="Q5447">
            <v>191839.3</v>
          </cell>
          <cell r="R5447">
            <v>92649.12</v>
          </cell>
          <cell r="S5447">
            <v>46048.46</v>
          </cell>
          <cell r="U5447">
            <v>185.74</v>
          </cell>
          <cell r="X5447">
            <v>32233.919999999998</v>
          </cell>
          <cell r="Y5447">
            <v>4604.8500000000004</v>
          </cell>
          <cell r="AE5447">
            <v>184.56</v>
          </cell>
          <cell r="AF5447">
            <v>91.73</v>
          </cell>
          <cell r="AM5447">
            <v>382.15</v>
          </cell>
          <cell r="AN5447">
            <v>184.56</v>
          </cell>
          <cell r="AO5447">
            <v>91.73</v>
          </cell>
          <cell r="AQ5447">
            <v>0.37</v>
          </cell>
          <cell r="AT5447">
            <v>70</v>
          </cell>
          <cell r="AU5447">
            <v>10</v>
          </cell>
          <cell r="AV5447">
            <v>1</v>
          </cell>
          <cell r="BA5447">
            <v>1</v>
          </cell>
          <cell r="BB5447">
            <v>1</v>
          </cell>
          <cell r="BS5447">
            <v>1</v>
          </cell>
          <cell r="BZ5447">
            <v>70</v>
          </cell>
          <cell r="CA5447">
            <v>10</v>
          </cell>
          <cell r="CS5447">
            <v>184.56</v>
          </cell>
          <cell r="DE5447" t="str">
            <v>)*1</v>
          </cell>
          <cell r="DF5447" t="str">
            <v>)*1</v>
          </cell>
          <cell r="DG5447" t="str">
            <v>)*1</v>
          </cell>
          <cell r="DI5447" t="str">
            <v>)*1</v>
          </cell>
        </row>
        <row r="5448">
          <cell r="F5448" t="str">
            <v>5.3-1102-25-2/1</v>
          </cell>
          <cell r="G5448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48" t="str">
            <v>м3</v>
          </cell>
          <cell r="I5448">
            <v>-502</v>
          </cell>
          <cell r="Q5448">
            <v>-12414.46</v>
          </cell>
          <cell r="R5448">
            <v>-5993.88</v>
          </cell>
          <cell r="S5448">
            <v>-3734.88</v>
          </cell>
          <cell r="U5448">
            <v>-15.059999999999999</v>
          </cell>
          <cell r="X5448">
            <v>-2614.42</v>
          </cell>
          <cell r="Y5448">
            <v>-373.49</v>
          </cell>
          <cell r="AE5448">
            <v>11.94</v>
          </cell>
          <cell r="AF5448">
            <v>7.44</v>
          </cell>
          <cell r="AM5448">
            <v>24.73</v>
          </cell>
          <cell r="AN5448">
            <v>11.94</v>
          </cell>
          <cell r="AO5448">
            <v>7.44</v>
          </cell>
          <cell r="AQ5448">
            <v>0.03</v>
          </cell>
          <cell r="AT5448">
            <v>70</v>
          </cell>
          <cell r="AU5448">
            <v>10</v>
          </cell>
          <cell r="AV5448">
            <v>1</v>
          </cell>
          <cell r="BA5448">
            <v>1</v>
          </cell>
          <cell r="BB5448">
            <v>1</v>
          </cell>
          <cell r="BS5448">
            <v>1</v>
          </cell>
          <cell r="BZ5448">
            <v>70</v>
          </cell>
          <cell r="CA5448">
            <v>10</v>
          </cell>
          <cell r="CS5448">
            <v>11.94</v>
          </cell>
          <cell r="DE5448" t="str">
            <v>)*1</v>
          </cell>
          <cell r="DF5448" t="str">
            <v>)*1</v>
          </cell>
          <cell r="DG5448" t="str">
            <v>)*1</v>
          </cell>
          <cell r="DI5448" t="str">
            <v>)*1</v>
          </cell>
        </row>
        <row r="5450">
          <cell r="G5450" t="str">
            <v>Сбор и перемещение снега и скола к месту временного размещения( 2025г.)</v>
          </cell>
        </row>
        <row r="5480">
          <cell r="G5480" t="str">
            <v>Сбор и перемещение снега и скола к месту временного размещения( 2026г.)</v>
          </cell>
        </row>
        <row r="5484">
          <cell r="F5484" t="str">
            <v>5.3-1102-25-1/1</v>
          </cell>
          <cell r="G5484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    </cell>
          <cell r="H5484" t="str">
            <v>м3</v>
          </cell>
          <cell r="I5484">
            <v>258.5</v>
          </cell>
          <cell r="Q5484">
            <v>98785.78</v>
          </cell>
          <cell r="R5484">
            <v>47708.76</v>
          </cell>
          <cell r="S5484">
            <v>23712.21</v>
          </cell>
          <cell r="U5484">
            <v>95.644999999999996</v>
          </cell>
          <cell r="X5484">
            <v>16598.55</v>
          </cell>
          <cell r="Y5484">
            <v>2371.2199999999998</v>
          </cell>
          <cell r="AE5484">
            <v>184.56</v>
          </cell>
          <cell r="AF5484">
            <v>91.73</v>
          </cell>
          <cell r="AM5484">
            <v>382.15</v>
          </cell>
          <cell r="AN5484">
            <v>184.56</v>
          </cell>
          <cell r="AO5484">
            <v>91.73</v>
          </cell>
          <cell r="AQ5484">
            <v>0.37</v>
          </cell>
          <cell r="AT5484">
            <v>70</v>
          </cell>
          <cell r="AU5484">
            <v>10</v>
          </cell>
          <cell r="AV5484">
            <v>1</v>
          </cell>
          <cell r="BA5484">
            <v>1</v>
          </cell>
          <cell r="BB5484">
            <v>1</v>
          </cell>
          <cell r="BS5484">
            <v>1</v>
          </cell>
          <cell r="BZ5484">
            <v>70</v>
          </cell>
          <cell r="CA5484">
            <v>10</v>
          </cell>
          <cell r="CS5484">
            <v>184.56</v>
          </cell>
          <cell r="DE5484" t="str">
            <v>)*1</v>
          </cell>
          <cell r="DF5484" t="str">
            <v>)*1</v>
          </cell>
          <cell r="DG5484" t="str">
            <v>)*1</v>
          </cell>
          <cell r="DI5484" t="str">
            <v>)*1</v>
          </cell>
        </row>
        <row r="5485">
          <cell r="F5485" t="str">
            <v>5.3-1102-25-2/1</v>
          </cell>
          <cell r="G5485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85" t="str">
            <v>м3</v>
          </cell>
          <cell r="I5485">
            <v>-258.5</v>
          </cell>
          <cell r="Q5485">
            <v>-25570.82</v>
          </cell>
          <cell r="R5485">
            <v>-12345.96</v>
          </cell>
          <cell r="S5485">
            <v>-7692.96</v>
          </cell>
          <cell r="U5485">
            <v>-31.02</v>
          </cell>
          <cell r="X5485">
            <v>-5385.07</v>
          </cell>
          <cell r="Y5485">
            <v>-769.3</v>
          </cell>
          <cell r="AE5485">
            <v>47.76</v>
          </cell>
          <cell r="AF5485">
            <v>29.76</v>
          </cell>
          <cell r="AM5485">
            <v>24.73</v>
          </cell>
          <cell r="AN5485">
            <v>11.94</v>
          </cell>
          <cell r="AO5485">
            <v>7.44</v>
          </cell>
          <cell r="AQ5485">
            <v>0.03</v>
          </cell>
          <cell r="AT5485">
            <v>70</v>
          </cell>
          <cell r="AU5485">
            <v>10</v>
          </cell>
          <cell r="AV5485">
            <v>1</v>
          </cell>
          <cell r="BA5485">
            <v>1</v>
          </cell>
          <cell r="BB5485">
            <v>1</v>
          </cell>
          <cell r="BS5485">
            <v>1</v>
          </cell>
          <cell r="BZ5485">
            <v>70</v>
          </cell>
          <cell r="CA5485">
            <v>10</v>
          </cell>
          <cell r="CS5485">
            <v>47.76</v>
          </cell>
          <cell r="DE5485" t="str">
            <v>)*4</v>
          </cell>
          <cell r="DF5485" t="str">
            <v>)*4</v>
          </cell>
          <cell r="DG5485" t="str">
            <v>)*4</v>
          </cell>
          <cell r="DI5485" t="str">
            <v>)*4</v>
          </cell>
        </row>
        <row r="5486">
          <cell r="F5486" t="str">
            <v>5.3-1102-25-1/1</v>
          </cell>
          <cell r="G5486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    </cell>
          <cell r="H5486" t="str">
            <v>м3</v>
          </cell>
          <cell r="I5486">
            <v>258.5</v>
          </cell>
          <cell r="Q5486">
            <v>98785.78</v>
          </cell>
          <cell r="R5486">
            <v>47708.76</v>
          </cell>
          <cell r="S5486">
            <v>23712.21</v>
          </cell>
          <cell r="U5486">
            <v>95.644999999999996</v>
          </cell>
          <cell r="X5486">
            <v>16598.55</v>
          </cell>
          <cell r="Y5486">
            <v>2371.2199999999998</v>
          </cell>
          <cell r="AE5486">
            <v>184.56</v>
          </cell>
          <cell r="AF5486">
            <v>91.73</v>
          </cell>
          <cell r="AM5486">
            <v>382.15</v>
          </cell>
          <cell r="AN5486">
            <v>184.56</v>
          </cell>
          <cell r="AO5486">
            <v>91.73</v>
          </cell>
          <cell r="AQ5486">
            <v>0.37</v>
          </cell>
          <cell r="AT5486">
            <v>70</v>
          </cell>
          <cell r="AU5486">
            <v>10</v>
          </cell>
          <cell r="AV5486">
            <v>1</v>
          </cell>
          <cell r="BA5486">
            <v>1</v>
          </cell>
          <cell r="BB5486">
            <v>1</v>
          </cell>
          <cell r="BS5486">
            <v>1</v>
          </cell>
          <cell r="BZ5486">
            <v>70</v>
          </cell>
          <cell r="CA5486">
            <v>10</v>
          </cell>
          <cell r="CS5486">
            <v>184.56</v>
          </cell>
          <cell r="DE5486" t="str">
            <v>)*1</v>
          </cell>
          <cell r="DF5486" t="str">
            <v>)*1</v>
          </cell>
          <cell r="DG5486" t="str">
            <v>)*1</v>
          </cell>
          <cell r="DI5486" t="str">
            <v>)*1</v>
          </cell>
        </row>
        <row r="5487">
          <cell r="F5487" t="str">
            <v>5.3-1102-25-2/1</v>
          </cell>
          <cell r="G5487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87" t="str">
            <v>м3</v>
          </cell>
          <cell r="I5487">
            <v>-258.5</v>
          </cell>
          <cell r="Q5487">
            <v>-19178.12</v>
          </cell>
          <cell r="R5487">
            <v>-9259.4699999999993</v>
          </cell>
          <cell r="S5487">
            <v>-5769.72</v>
          </cell>
          <cell r="U5487">
            <v>-23.265000000000001</v>
          </cell>
          <cell r="X5487">
            <v>-4038.8</v>
          </cell>
          <cell r="Y5487">
            <v>-576.97</v>
          </cell>
          <cell r="AE5487">
            <v>35.82</v>
          </cell>
          <cell r="AF5487">
            <v>22.32</v>
          </cell>
          <cell r="AM5487">
            <v>24.73</v>
          </cell>
          <cell r="AN5487">
            <v>11.94</v>
          </cell>
          <cell r="AO5487">
            <v>7.44</v>
          </cell>
          <cell r="AQ5487">
            <v>0.03</v>
          </cell>
          <cell r="AT5487">
            <v>70</v>
          </cell>
          <cell r="AU5487">
            <v>10</v>
          </cell>
          <cell r="AV5487">
            <v>1</v>
          </cell>
          <cell r="BA5487">
            <v>1</v>
          </cell>
          <cell r="BB5487">
            <v>1</v>
          </cell>
          <cell r="BS5487">
            <v>1</v>
          </cell>
          <cell r="BZ5487">
            <v>70</v>
          </cell>
          <cell r="CA5487">
            <v>10</v>
          </cell>
          <cell r="CS5487">
            <v>35.82</v>
          </cell>
          <cell r="DE5487" t="str">
            <v>)*3</v>
          </cell>
          <cell r="DF5487" t="str">
            <v>)*3</v>
          </cell>
          <cell r="DG5487" t="str">
            <v>)*3</v>
          </cell>
          <cell r="DI5487" t="str">
            <v>)*3</v>
          </cell>
        </row>
        <row r="5488">
          <cell r="F5488" t="str">
            <v>5.3-1102-25-1/1</v>
          </cell>
          <cell r="G5488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    </cell>
          <cell r="H5488" t="str">
            <v>м3</v>
          </cell>
          <cell r="I5488">
            <v>258.5</v>
          </cell>
          <cell r="Q5488">
            <v>98785.78</v>
          </cell>
          <cell r="R5488">
            <v>47708.76</v>
          </cell>
          <cell r="S5488">
            <v>23712.21</v>
          </cell>
          <cell r="U5488">
            <v>95.644999999999996</v>
          </cell>
          <cell r="X5488">
            <v>16598.55</v>
          </cell>
          <cell r="Y5488">
            <v>2371.2199999999998</v>
          </cell>
          <cell r="AE5488">
            <v>184.56</v>
          </cell>
          <cell r="AF5488">
            <v>91.73</v>
          </cell>
          <cell r="AM5488">
            <v>382.15</v>
          </cell>
          <cell r="AN5488">
            <v>184.56</v>
          </cell>
          <cell r="AO5488">
            <v>91.73</v>
          </cell>
          <cell r="AQ5488">
            <v>0.37</v>
          </cell>
          <cell r="AT5488">
            <v>70</v>
          </cell>
          <cell r="AU5488">
            <v>10</v>
          </cell>
          <cell r="AV5488">
            <v>1</v>
          </cell>
          <cell r="BA5488">
            <v>1</v>
          </cell>
          <cell r="BB5488">
            <v>1</v>
          </cell>
          <cell r="BS5488">
            <v>1</v>
          </cell>
          <cell r="BZ5488">
            <v>70</v>
          </cell>
          <cell r="CA5488">
            <v>10</v>
          </cell>
          <cell r="CS5488">
            <v>184.56</v>
          </cell>
          <cell r="DE5488" t="str">
            <v>)*1</v>
          </cell>
          <cell r="DF5488" t="str">
            <v>)*1</v>
          </cell>
          <cell r="DG5488" t="str">
            <v>)*1</v>
          </cell>
          <cell r="DI5488" t="str">
            <v>)*1</v>
          </cell>
        </row>
        <row r="5489">
          <cell r="F5489" t="str">
            <v>5.3-1102-25-2/1</v>
          </cell>
          <cell r="G5489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89" t="str">
            <v>м3</v>
          </cell>
          <cell r="I5489">
            <v>-256.5</v>
          </cell>
          <cell r="Q5489">
            <v>-12686.49</v>
          </cell>
          <cell r="R5489">
            <v>-6125.22</v>
          </cell>
          <cell r="S5489">
            <v>-3816.72</v>
          </cell>
          <cell r="U5489">
            <v>-15.389999999999999</v>
          </cell>
          <cell r="X5489">
            <v>-2671.7</v>
          </cell>
          <cell r="Y5489">
            <v>-381.67</v>
          </cell>
          <cell r="AE5489">
            <v>23.88</v>
          </cell>
          <cell r="AF5489">
            <v>14.88</v>
          </cell>
          <cell r="AM5489">
            <v>24.73</v>
          </cell>
          <cell r="AN5489">
            <v>11.94</v>
          </cell>
          <cell r="AO5489">
            <v>7.44</v>
          </cell>
          <cell r="AQ5489">
            <v>0.03</v>
          </cell>
          <cell r="AT5489">
            <v>70</v>
          </cell>
          <cell r="AU5489">
            <v>10</v>
          </cell>
          <cell r="AV5489">
            <v>1</v>
          </cell>
          <cell r="BA5489">
            <v>1</v>
          </cell>
          <cell r="BB5489">
            <v>1</v>
          </cell>
          <cell r="BS5489">
            <v>1</v>
          </cell>
          <cell r="BZ5489">
            <v>70</v>
          </cell>
          <cell r="CA5489">
            <v>10</v>
          </cell>
          <cell r="CS5489">
            <v>23.88</v>
          </cell>
          <cell r="DE5489" t="str">
            <v>)*2</v>
          </cell>
          <cell r="DF5489" t="str">
            <v>)*2</v>
          </cell>
          <cell r="DG5489" t="str">
            <v>)*2</v>
          </cell>
          <cell r="DI5489" t="str">
            <v>)*2</v>
          </cell>
        </row>
        <row r="5490">
          <cell r="F5490" t="str">
            <v>5.3-1102-25-1/1</v>
          </cell>
          <cell r="G5490" t="str">
    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    </cell>
          <cell r="H5490" t="str">
            <v>м3</v>
          </cell>
          <cell r="I5490">
            <v>258.5</v>
          </cell>
          <cell r="Q5490">
            <v>98785.78</v>
          </cell>
          <cell r="R5490">
            <v>47708.76</v>
          </cell>
          <cell r="S5490">
            <v>23712.21</v>
          </cell>
          <cell r="U5490">
            <v>95.644999999999996</v>
          </cell>
          <cell r="X5490">
            <v>16598.55</v>
          </cell>
          <cell r="Y5490">
            <v>2371.2199999999998</v>
          </cell>
          <cell r="AE5490">
            <v>184.56</v>
          </cell>
          <cell r="AF5490">
            <v>91.73</v>
          </cell>
          <cell r="AM5490">
            <v>382.15</v>
          </cell>
          <cell r="AN5490">
            <v>184.56</v>
          </cell>
          <cell r="AO5490">
            <v>91.73</v>
          </cell>
          <cell r="AQ5490">
            <v>0.37</v>
          </cell>
          <cell r="AT5490">
            <v>70</v>
          </cell>
          <cell r="AU5490">
            <v>10</v>
          </cell>
          <cell r="AV5490">
            <v>1</v>
          </cell>
          <cell r="BA5490">
            <v>1</v>
          </cell>
          <cell r="BB5490">
            <v>1</v>
          </cell>
          <cell r="BS5490">
            <v>1</v>
          </cell>
          <cell r="BZ5490">
            <v>70</v>
          </cell>
          <cell r="CA5490">
            <v>10</v>
          </cell>
          <cell r="CS5490">
            <v>184.56</v>
          </cell>
          <cell r="DE5490" t="str">
            <v>)*1</v>
          </cell>
          <cell r="DF5490" t="str">
            <v>)*1</v>
          </cell>
          <cell r="DG5490" t="str">
            <v>)*1</v>
          </cell>
          <cell r="DI5490" t="str">
            <v>)*1</v>
          </cell>
        </row>
        <row r="5491">
          <cell r="F5491" t="str">
            <v>5.3-1102-25-2/1</v>
          </cell>
          <cell r="G5491" t="str">
    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    </cell>
          <cell r="H5491" t="str">
            <v>м3</v>
          </cell>
          <cell r="I5491">
            <v>-258.5</v>
          </cell>
          <cell r="Q5491">
            <v>-6392.71</v>
          </cell>
          <cell r="R5491">
            <v>-3086.49</v>
          </cell>
          <cell r="S5491">
            <v>-1923.24</v>
          </cell>
          <cell r="U5491">
            <v>-7.7549999999999999</v>
          </cell>
          <cell r="X5491">
            <v>-1346.27</v>
          </cell>
          <cell r="Y5491">
            <v>-192.32</v>
          </cell>
          <cell r="AE5491">
            <v>11.94</v>
          </cell>
          <cell r="AF5491">
            <v>7.44</v>
          </cell>
          <cell r="AM5491">
            <v>24.73</v>
          </cell>
          <cell r="AN5491">
            <v>11.94</v>
          </cell>
          <cell r="AO5491">
            <v>7.44</v>
          </cell>
          <cell r="AQ5491">
            <v>0.03</v>
          </cell>
          <cell r="AT5491">
            <v>70</v>
          </cell>
          <cell r="AU5491">
            <v>10</v>
          </cell>
          <cell r="AV5491">
            <v>1</v>
          </cell>
          <cell r="BA5491">
            <v>1</v>
          </cell>
          <cell r="BB5491">
            <v>1</v>
          </cell>
          <cell r="BS5491">
            <v>1</v>
          </cell>
          <cell r="BZ5491">
            <v>70</v>
          </cell>
          <cell r="CA5491">
            <v>10</v>
          </cell>
          <cell r="CS5491">
            <v>11.94</v>
          </cell>
          <cell r="DE5491" t="str">
            <v>)*1</v>
          </cell>
          <cell r="DF5491" t="str">
            <v>)*1</v>
          </cell>
          <cell r="DG5491" t="str">
            <v>)*1</v>
          </cell>
          <cell r="DI5491" t="str">
            <v>)*1</v>
          </cell>
        </row>
        <row r="5493">
          <cell r="G5493" t="str">
            <v>Сбор и перемещение снега и скола к месту временного размещения( 2026г.)</v>
          </cell>
        </row>
        <row r="5523">
          <cell r="G5523" t="str">
            <v>Зимняя уборка территории ( доп. соглашение )</v>
          </cell>
        </row>
        <row r="5553">
          <cell r="G5553" t="str">
            <v>Летняя уборка территории ( доп. соглашение )</v>
          </cell>
        </row>
        <row r="5557">
          <cell r="G5557" t="str">
            <v>ул. Варварка</v>
          </cell>
        </row>
        <row r="5561">
          <cell r="G5561" t="str">
            <v>Содержание покрытия из гранитной плитки, пескоуловитель из фибробетона ( S=2485,6 м2+ 21,48 м2= 2507,08 м2)</v>
          </cell>
        </row>
        <row r="5565">
          <cell r="F5565" t="str">
            <v>5.3-1101-15-1/1</v>
          </cell>
          <cell r="G5565" t="str">
            <v>Подметание тротуаров, придомовых и внутрибольничных проездов средствами малой механизации ( 2507,08 м2*0,7=1754,96м2)</v>
          </cell>
          <cell r="H5565" t="str">
            <v>1000 м2</v>
          </cell>
          <cell r="I5565">
            <v>1.7549600000000001</v>
          </cell>
          <cell r="P5565">
            <v>11860.09</v>
          </cell>
          <cell r="Q5565">
            <v>406176.65</v>
          </cell>
          <cell r="R5565">
            <v>165971.41</v>
          </cell>
          <cell r="X5565">
            <v>0</v>
          </cell>
          <cell r="Y5565">
            <v>0</v>
          </cell>
          <cell r="AE5565">
            <v>94572.76</v>
          </cell>
          <cell r="AF5565">
            <v>0</v>
          </cell>
          <cell r="AL5565">
            <v>8.49</v>
          </cell>
          <cell r="AM5565">
            <v>290.76</v>
          </cell>
          <cell r="AN5565">
            <v>118.81</v>
          </cell>
          <cell r="AV5565">
            <v>1</v>
          </cell>
          <cell r="AW5565">
            <v>1</v>
          </cell>
          <cell r="BB5565">
            <v>1</v>
          </cell>
          <cell r="BC5565">
            <v>1</v>
          </cell>
          <cell r="BS5565">
            <v>1</v>
          </cell>
          <cell r="BZ5565">
            <v>70</v>
          </cell>
          <cell r="CA5565">
            <v>10</v>
          </cell>
          <cell r="CS5565">
            <v>94572.76</v>
          </cell>
          <cell r="DD5565" t="str">
            <v>)*2*398</v>
          </cell>
          <cell r="DE5565" t="str">
            <v>)*2*398</v>
          </cell>
          <cell r="DF5565" t="str">
            <v>)*2*398</v>
          </cell>
        </row>
        <row r="5566">
          <cell r="F5566" t="str">
            <v>21.1-25-13</v>
          </cell>
          <cell r="G5566" t="str">
            <v>Вода</v>
          </cell>
          <cell r="H5566" t="str">
            <v>м3</v>
          </cell>
          <cell r="I5566">
            <v>-279.38963200000001</v>
          </cell>
          <cell r="O5566">
            <v>-11857.3</v>
          </cell>
          <cell r="X5566">
            <v>0</v>
          </cell>
          <cell r="Y5566">
            <v>0</v>
          </cell>
          <cell r="AE5566">
            <v>0</v>
          </cell>
          <cell r="AF5566">
            <v>0</v>
          </cell>
          <cell r="AK5566">
            <v>42.44</v>
          </cell>
          <cell r="AV5566">
            <v>1</v>
          </cell>
          <cell r="AW5566">
            <v>1</v>
          </cell>
          <cell r="BC5566">
            <v>1</v>
          </cell>
          <cell r="BZ5566">
            <v>70</v>
          </cell>
          <cell r="CA5566">
            <v>10</v>
          </cell>
          <cell r="CS5566">
            <v>0</v>
          </cell>
        </row>
        <row r="5567">
          <cell r="F5567" t="str">
            <v>5.3-1101-13-1/1</v>
          </cell>
          <cell r="G5567" t="str">
            <v>Подметание вручную дорожек и площадок с твердым покрытием ( 2507,08 м2*0,3=752,12м2)</v>
          </cell>
          <cell r="H5567" t="str">
            <v>100 м2</v>
          </cell>
          <cell r="I5567">
            <v>7.5212000000000003</v>
          </cell>
          <cell r="S5567">
            <v>207804.44</v>
          </cell>
          <cell r="U5567">
            <v>838.16252800000018</v>
          </cell>
          <cell r="X5567">
            <v>145463.10999999999</v>
          </cell>
          <cell r="Y5567">
            <v>20780.439999999999</v>
          </cell>
          <cell r="AE5567">
            <v>0</v>
          </cell>
          <cell r="AF5567">
            <v>27629.16</v>
          </cell>
          <cell r="AO5567">
            <v>34.71</v>
          </cell>
          <cell r="AQ5567">
            <v>0.14000000000000001</v>
          </cell>
          <cell r="AT5567">
            <v>70</v>
          </cell>
          <cell r="AU5567">
            <v>10</v>
          </cell>
          <cell r="AV5567">
            <v>1</v>
          </cell>
          <cell r="BA5567">
            <v>1</v>
          </cell>
          <cell r="BZ5567">
            <v>70</v>
          </cell>
          <cell r="CA5567">
            <v>10</v>
          </cell>
          <cell r="CS5567">
            <v>0</v>
          </cell>
          <cell r="DG5567" t="str">
            <v>)*2*398</v>
          </cell>
          <cell r="DI5567" t="str">
            <v>)*2*398</v>
          </cell>
        </row>
        <row r="5568">
          <cell r="F5568" t="str">
            <v>5.3-1101-15-5/1</v>
          </cell>
          <cell r="G5568" t="str">
            <v>Мытье тротуаров, придомовых и внутрибольничных проездов средствами малой механизации</v>
          </cell>
          <cell r="H5568" t="str">
            <v>1000 м2</v>
          </cell>
          <cell r="I5568">
            <v>2.5070800000000002</v>
          </cell>
          <cell r="P5568">
            <v>973</v>
          </cell>
          <cell r="Q5568">
            <v>3700.85</v>
          </cell>
          <cell r="R5568">
            <v>1512.22</v>
          </cell>
          <cell r="X5568">
            <v>0</v>
          </cell>
          <cell r="Y5568">
            <v>0</v>
          </cell>
          <cell r="AE5568">
            <v>603.17999999999995</v>
          </cell>
          <cell r="AF5568">
            <v>0</v>
          </cell>
          <cell r="AL5568">
            <v>194.05</v>
          </cell>
          <cell r="AM5568">
            <v>738.08</v>
          </cell>
          <cell r="AN5568">
            <v>301.58999999999997</v>
          </cell>
          <cell r="AV5568">
            <v>1</v>
          </cell>
          <cell r="AW5568">
            <v>1</v>
          </cell>
          <cell r="BB5568">
            <v>1</v>
          </cell>
          <cell r="BC5568">
            <v>1</v>
          </cell>
          <cell r="BS5568">
            <v>1</v>
          </cell>
          <cell r="BZ5568">
            <v>70</v>
          </cell>
          <cell r="CA5568">
            <v>10</v>
          </cell>
          <cell r="CS5568">
            <v>603.17999999999995</v>
          </cell>
          <cell r="DD5568" t="str">
            <v>)*1*2</v>
          </cell>
          <cell r="DE5568" t="str">
            <v>)*1*2</v>
          </cell>
          <cell r="DF5568" t="str">
            <v>)*1*2</v>
          </cell>
        </row>
        <row r="5569">
          <cell r="F5569" t="str">
            <v>21.1-25-13</v>
          </cell>
          <cell r="G5569" t="str">
            <v>Вода</v>
          </cell>
          <cell r="H5569" t="str">
            <v>м3</v>
          </cell>
          <cell r="I5569">
            <v>-5.6158589999999995</v>
          </cell>
          <cell r="O5569">
            <v>-238.34</v>
          </cell>
          <cell r="X5569">
            <v>0</v>
          </cell>
          <cell r="Y5569">
            <v>0</v>
          </cell>
          <cell r="AE5569">
            <v>0</v>
          </cell>
          <cell r="AF5569">
            <v>0</v>
          </cell>
          <cell r="AK5569">
            <v>42.44</v>
          </cell>
          <cell r="AV5569">
            <v>1</v>
          </cell>
          <cell r="AW5569">
            <v>1</v>
          </cell>
          <cell r="BC5569">
            <v>1</v>
          </cell>
          <cell r="BZ5569">
            <v>70</v>
          </cell>
          <cell r="CA5569">
            <v>10</v>
          </cell>
          <cell r="CS5569">
            <v>0</v>
          </cell>
        </row>
        <row r="5570">
          <cell r="F5570" t="str">
            <v>5.3-1101-15-4/1</v>
          </cell>
          <cell r="G5570" t="str">
            <v>Полив тротуаров, придомовых и внутрибольничных проездов средствами малой механизации</v>
          </cell>
          <cell r="H5570" t="str">
            <v>1000 м2</v>
          </cell>
          <cell r="I5570">
            <v>2.5070800000000002</v>
          </cell>
          <cell r="P5570">
            <v>6701.42</v>
          </cell>
          <cell r="Q5570">
            <v>211959.07</v>
          </cell>
          <cell r="R5570">
            <v>86608.58</v>
          </cell>
          <cell r="X5570">
            <v>0</v>
          </cell>
          <cell r="Y5570">
            <v>0</v>
          </cell>
          <cell r="AE5570">
            <v>34545.599999999999</v>
          </cell>
          <cell r="AF5570">
            <v>0</v>
          </cell>
          <cell r="AL5570">
            <v>14.85</v>
          </cell>
          <cell r="AM5570">
            <v>469.69</v>
          </cell>
          <cell r="AN5570">
            <v>191.92</v>
          </cell>
          <cell r="AV5570">
            <v>1</v>
          </cell>
          <cell r="AW5570">
            <v>1</v>
          </cell>
          <cell r="BB5570">
            <v>1</v>
          </cell>
          <cell r="BC5570">
            <v>1</v>
          </cell>
          <cell r="BS5570">
            <v>1</v>
          </cell>
          <cell r="BZ5570">
            <v>70</v>
          </cell>
          <cell r="CA5570">
            <v>10</v>
          </cell>
          <cell r="CS5570">
            <v>34545.599999999999</v>
          </cell>
          <cell r="DD5570" t="str">
            <v>)*2*90</v>
          </cell>
          <cell r="DE5570" t="str">
            <v>)*2*90</v>
          </cell>
          <cell r="DF5570" t="str">
            <v>)*2*90</v>
          </cell>
        </row>
        <row r="5571">
          <cell r="F5571" t="str">
            <v>21.1-25-13</v>
          </cell>
          <cell r="G5571" t="str">
            <v>Вода</v>
          </cell>
          <cell r="H5571" t="str">
            <v>м3</v>
          </cell>
          <cell r="I5571">
            <v>-157.94604000000001</v>
          </cell>
          <cell r="O5571">
            <v>-6703.23</v>
          </cell>
          <cell r="X5571">
            <v>0</v>
          </cell>
          <cell r="Y5571">
            <v>0</v>
          </cell>
          <cell r="AE5571">
            <v>0</v>
          </cell>
          <cell r="AF5571">
            <v>0</v>
          </cell>
          <cell r="AK5571">
            <v>42.44</v>
          </cell>
          <cell r="AV5571">
            <v>1</v>
          </cell>
          <cell r="AW5571">
            <v>1</v>
          </cell>
          <cell r="BC5571">
            <v>1</v>
          </cell>
          <cell r="BZ5571">
            <v>70</v>
          </cell>
          <cell r="CA5571">
            <v>10</v>
          </cell>
          <cell r="CS5571">
            <v>0</v>
          </cell>
        </row>
        <row r="5573">
          <cell r="G5573" t="str">
            <v>Содержание покрытия из гранитной плитки, пескоуловитель из фибробетона ( S=2485,6 м2+ 21,48 м2= 2507,08 м2)</v>
          </cell>
        </row>
        <row r="5603">
          <cell r="G5603" t="str">
            <v>Уход за бортовыми камнями</v>
          </cell>
        </row>
        <row r="5607">
          <cell r="F5607" t="str">
            <v>5.3-1101-13-1/1</v>
          </cell>
          <cell r="G5607" t="str">
            <v>Подметание вручную дорожек и площадок с твердым покрытием ( очистка бортовых камней )</v>
          </cell>
          <cell r="H5607" t="str">
            <v>100 м2</v>
          </cell>
          <cell r="I5607">
            <v>1.1064000000000001</v>
          </cell>
          <cell r="S5607">
            <v>30568.9</v>
          </cell>
          <cell r="U5607">
            <v>123.29721600000002</v>
          </cell>
          <cell r="X5607">
            <v>21398.23</v>
          </cell>
          <cell r="Y5607">
            <v>3056.89</v>
          </cell>
          <cell r="AE5607">
            <v>0</v>
          </cell>
          <cell r="AF5607">
            <v>27629.16</v>
          </cell>
          <cell r="AO5607">
            <v>34.71</v>
          </cell>
          <cell r="AQ5607">
            <v>0.14000000000000001</v>
          </cell>
          <cell r="AT5607">
            <v>70</v>
          </cell>
          <cell r="AU5607">
            <v>10</v>
          </cell>
          <cell r="AV5607">
            <v>1</v>
          </cell>
          <cell r="BA5607">
            <v>1</v>
          </cell>
          <cell r="BZ5607">
            <v>70</v>
          </cell>
          <cell r="CA5607">
            <v>10</v>
          </cell>
          <cell r="CS5607">
            <v>0</v>
          </cell>
          <cell r="DG5607" t="str">
            <v>)*2*398</v>
          </cell>
          <cell r="DI5607" t="str">
            <v>)*2*398</v>
          </cell>
        </row>
        <row r="5609">
          <cell r="G5609" t="str">
            <v>Уход за бортовыми камнями</v>
          </cell>
        </row>
        <row r="5639">
          <cell r="G5639" t="str">
            <v>Содержание покрытий пандусов( S=30 м2)( 20 шт.)</v>
          </cell>
        </row>
        <row r="5643">
          <cell r="F5643" t="str">
            <v>5.3-1101-13-1/1</v>
          </cell>
          <cell r="G5643" t="str">
            <v>Подметание вручную дорожек и площадок с твердым покрытием</v>
          </cell>
          <cell r="H5643" t="str">
            <v>100 м2</v>
          </cell>
          <cell r="I5643">
            <v>0.3</v>
          </cell>
          <cell r="S5643">
            <v>8288.75</v>
          </cell>
          <cell r="U5643">
            <v>33.432000000000002</v>
          </cell>
          <cell r="X5643">
            <v>5802.13</v>
          </cell>
          <cell r="Y5643">
            <v>828.88</v>
          </cell>
          <cell r="AE5643">
            <v>0</v>
          </cell>
          <cell r="AF5643">
            <v>27629.16</v>
          </cell>
          <cell r="AO5643">
            <v>34.71</v>
          </cell>
          <cell r="AQ5643">
            <v>0.14000000000000001</v>
          </cell>
          <cell r="AT5643">
            <v>70</v>
          </cell>
          <cell r="AU5643">
            <v>10</v>
          </cell>
          <cell r="AV5643">
            <v>1</v>
          </cell>
          <cell r="BA5643">
            <v>1</v>
          </cell>
          <cell r="BZ5643">
            <v>70</v>
          </cell>
          <cell r="CA5643">
            <v>10</v>
          </cell>
          <cell r="CS5643">
            <v>0</v>
          </cell>
          <cell r="DG5643" t="str">
            <v>)*2*398</v>
          </cell>
          <cell r="DI5643" t="str">
            <v>)*2*398</v>
          </cell>
        </row>
        <row r="5644">
          <cell r="F5644" t="str">
            <v>5.3-1101-14-1/1</v>
          </cell>
          <cell r="G5644" t="str">
            <v>Полив дорожек из шланга вручную</v>
          </cell>
          <cell r="H5644" t="str">
            <v>100 м2</v>
          </cell>
          <cell r="I5644">
            <v>0.3</v>
          </cell>
          <cell r="P5644">
            <v>228.96</v>
          </cell>
          <cell r="S5644">
            <v>1740.42</v>
          </cell>
          <cell r="U5644">
            <v>7.0200000000000005</v>
          </cell>
          <cell r="X5644">
            <v>1218.29</v>
          </cell>
          <cell r="Y5644">
            <v>174.04</v>
          </cell>
          <cell r="AE5644">
            <v>0</v>
          </cell>
          <cell r="AF5644">
            <v>5801.4</v>
          </cell>
          <cell r="AL5644">
            <v>4.24</v>
          </cell>
          <cell r="AO5644">
            <v>32.229999999999997</v>
          </cell>
          <cell r="AQ5644">
            <v>0.13</v>
          </cell>
          <cell r="AT5644">
            <v>70</v>
          </cell>
          <cell r="AU5644">
            <v>10</v>
          </cell>
          <cell r="AV5644">
            <v>1</v>
          </cell>
          <cell r="AW5644">
            <v>1</v>
          </cell>
          <cell r="BA5644">
            <v>1</v>
          </cell>
          <cell r="BC5644">
            <v>1</v>
          </cell>
          <cell r="BZ5644">
            <v>70</v>
          </cell>
          <cell r="CA5644">
            <v>10</v>
          </cell>
          <cell r="CS5644">
            <v>0</v>
          </cell>
          <cell r="DD5644" t="str">
            <v>)*2*90</v>
          </cell>
          <cell r="DG5644" t="str">
            <v>)*2*90</v>
          </cell>
          <cell r="DI5644" t="str">
            <v>)*2*90</v>
          </cell>
        </row>
        <row r="5645">
          <cell r="F5645" t="str">
            <v>21.1-25-13</v>
          </cell>
          <cell r="G5645" t="str">
            <v>Вода</v>
          </cell>
          <cell r="H5645" t="str">
            <v>м3</v>
          </cell>
          <cell r="I5645">
            <v>-5.4000000000000012</v>
          </cell>
          <cell r="O5645">
            <v>-229.18</v>
          </cell>
          <cell r="X5645">
            <v>0</v>
          </cell>
          <cell r="Y5645">
            <v>0</v>
          </cell>
          <cell r="AE5645">
            <v>0</v>
          </cell>
          <cell r="AF5645">
            <v>0</v>
          </cell>
          <cell r="AK5645">
            <v>42.44</v>
          </cell>
          <cell r="AV5645">
            <v>1</v>
          </cell>
          <cell r="AW5645">
            <v>1</v>
          </cell>
          <cell r="BC5645">
            <v>1</v>
          </cell>
          <cell r="BZ5645">
            <v>70</v>
          </cell>
          <cell r="CA5645">
            <v>10</v>
          </cell>
          <cell r="CS5645">
            <v>0</v>
          </cell>
        </row>
        <row r="5647">
          <cell r="G5647" t="str">
            <v>Содержание покрытий пандусов( S=30 м2)( 20 шт.)</v>
          </cell>
        </row>
        <row r="5677">
          <cell r="G5677" t="str">
            <v>Уход за подпорными стенками ( S=148 м2)</v>
          </cell>
        </row>
        <row r="5681">
          <cell r="F5681" t="str">
            <v>5.3-1101-5-1/1</v>
          </cell>
          <cell r="G5681" t="str">
            <v>Промывка оград железобетонных от пыли и грязи водой под напором( подпорные гранитные стенки)( прим.)</v>
          </cell>
          <cell r="H5681" t="str">
            <v>100 м2</v>
          </cell>
          <cell r="I5681">
            <v>1.48</v>
          </cell>
          <cell r="P5681">
            <v>150.72</v>
          </cell>
          <cell r="Q5681">
            <v>9802.69</v>
          </cell>
          <cell r="R5681">
            <v>3615.28</v>
          </cell>
          <cell r="S5681">
            <v>1511.79</v>
          </cell>
          <cell r="U5681">
            <v>6.0975999999999999</v>
          </cell>
          <cell r="X5681">
            <v>1058.25</v>
          </cell>
          <cell r="Y5681">
            <v>151.18</v>
          </cell>
          <cell r="AE5681">
            <v>2442.7600000000002</v>
          </cell>
          <cell r="AF5681">
            <v>1021.48</v>
          </cell>
          <cell r="AL5681">
            <v>25.46</v>
          </cell>
          <cell r="AM5681">
            <v>1655.86</v>
          </cell>
          <cell r="AN5681">
            <v>610.69000000000005</v>
          </cell>
          <cell r="AO5681">
            <v>255.37</v>
          </cell>
          <cell r="AQ5681">
            <v>1.03</v>
          </cell>
          <cell r="AT5681">
            <v>70</v>
          </cell>
          <cell r="AU5681">
            <v>10</v>
          </cell>
          <cell r="AV5681">
            <v>1</v>
          </cell>
          <cell r="AW5681">
            <v>1</v>
          </cell>
          <cell r="BA5681">
            <v>1</v>
          </cell>
          <cell r="BB5681">
            <v>1</v>
          </cell>
          <cell r="BC5681">
            <v>1</v>
          </cell>
          <cell r="BS5681">
            <v>1</v>
          </cell>
          <cell r="BZ5681">
            <v>70</v>
          </cell>
          <cell r="CA5681">
            <v>10</v>
          </cell>
          <cell r="CS5681">
            <v>2442.7600000000002</v>
          </cell>
          <cell r="DD5681" t="str">
            <v>)*1*4</v>
          </cell>
          <cell r="DE5681" t="str">
            <v>)*1*4</v>
          </cell>
          <cell r="DF5681" t="str">
            <v>)*1*4</v>
          </cell>
          <cell r="DG5681" t="str">
            <v>)*1*4</v>
          </cell>
          <cell r="DI5681" t="str">
            <v>)*1*4</v>
          </cell>
        </row>
        <row r="5682">
          <cell r="F5682" t="str">
            <v>21.1-25-13</v>
          </cell>
          <cell r="G5682" t="str">
            <v>Вода</v>
          </cell>
          <cell r="H5682" t="str">
            <v>м3</v>
          </cell>
          <cell r="I5682">
            <v>-3.552</v>
          </cell>
          <cell r="O5682">
            <v>-150.75</v>
          </cell>
          <cell r="X5682">
            <v>0</v>
          </cell>
          <cell r="Y5682">
            <v>0</v>
          </cell>
          <cell r="AE5682">
            <v>0</v>
          </cell>
          <cell r="AF5682">
            <v>0</v>
          </cell>
          <cell r="AK5682">
            <v>42.44</v>
          </cell>
          <cell r="AV5682">
            <v>1</v>
          </cell>
          <cell r="AW5682">
            <v>1</v>
          </cell>
          <cell r="BC5682">
            <v>1</v>
          </cell>
          <cell r="BZ5682">
            <v>70</v>
          </cell>
          <cell r="CA5682">
            <v>10</v>
          </cell>
          <cell r="CS5682">
            <v>0</v>
          </cell>
        </row>
        <row r="5683">
          <cell r="F5683" t="str">
            <v>5.3-1101-7-1/1</v>
          </cell>
          <cell r="G5683" t="str">
            <v>Протирка оград железобетонных от пыли и грязи( подпорные гранитные стенки)(прим.)</v>
          </cell>
          <cell r="H5683" t="str">
            <v>100 м2</v>
          </cell>
          <cell r="I5683">
            <v>1.48</v>
          </cell>
          <cell r="P5683">
            <v>80.22</v>
          </cell>
          <cell r="S5683">
            <v>26602.85</v>
          </cell>
          <cell r="U5683">
            <v>107.3</v>
          </cell>
          <cell r="X5683">
            <v>18622</v>
          </cell>
          <cell r="Y5683">
            <v>2660.29</v>
          </cell>
          <cell r="AE5683">
            <v>0</v>
          </cell>
          <cell r="AF5683">
            <v>17974.900000000001</v>
          </cell>
          <cell r="AL5683">
            <v>5.42</v>
          </cell>
          <cell r="AO5683">
            <v>1797.49</v>
          </cell>
          <cell r="AQ5683">
            <v>7.25</v>
          </cell>
          <cell r="AT5683">
            <v>70</v>
          </cell>
          <cell r="AU5683">
            <v>10</v>
          </cell>
          <cell r="AV5683">
            <v>1</v>
          </cell>
          <cell r="AW5683">
            <v>1</v>
          </cell>
          <cell r="BA5683">
            <v>1</v>
          </cell>
          <cell r="BC5683">
            <v>1</v>
          </cell>
          <cell r="BZ5683">
            <v>70</v>
          </cell>
          <cell r="CA5683">
            <v>10</v>
          </cell>
          <cell r="CS5683">
            <v>0</v>
          </cell>
          <cell r="DD5683" t="str">
            <v>)*1*10</v>
          </cell>
          <cell r="DG5683" t="str">
            <v>)*1*10</v>
          </cell>
          <cell r="DI5683" t="str">
            <v>)*1*10</v>
          </cell>
        </row>
        <row r="5684">
          <cell r="F5684" t="str">
            <v>21.1-25-13</v>
          </cell>
          <cell r="G5684" t="str">
            <v>Вода</v>
          </cell>
          <cell r="H5684" t="str">
            <v>м3</v>
          </cell>
          <cell r="I5684">
            <v>-0.29599999999999999</v>
          </cell>
          <cell r="O5684">
            <v>-12.56</v>
          </cell>
          <cell r="X5684">
            <v>0</v>
          </cell>
          <cell r="Y5684">
            <v>0</v>
          </cell>
          <cell r="AE5684">
            <v>0</v>
          </cell>
          <cell r="AF5684">
            <v>0</v>
          </cell>
          <cell r="AK5684">
            <v>42.44</v>
          </cell>
          <cell r="AV5684">
            <v>1</v>
          </cell>
          <cell r="AW5684">
            <v>1</v>
          </cell>
          <cell r="BC5684">
            <v>1</v>
          </cell>
          <cell r="BZ5684">
            <v>70</v>
          </cell>
          <cell r="CA5684">
            <v>10</v>
          </cell>
          <cell r="CS5684">
            <v>0</v>
          </cell>
        </row>
        <row r="5686">
          <cell r="G5686" t="str">
            <v>Уход за подпорными стенками ( S=148 м2)</v>
          </cell>
        </row>
        <row r="5716">
          <cell r="G5716" t="str">
            <v>Уход за металлическим ограждением</v>
          </cell>
        </row>
        <row r="5720">
          <cell r="F5720" t="str">
            <v>калькуляция</v>
          </cell>
          <cell r="G5720" t="str">
            <v>Протирка перил металлического ограждения</v>
          </cell>
          <cell r="H5720" t="str">
            <v>м.п.</v>
          </cell>
          <cell r="I5720">
            <v>216</v>
          </cell>
          <cell r="S5720">
            <v>314642.88</v>
          </cell>
          <cell r="X5720">
            <v>0</v>
          </cell>
          <cell r="Y5720">
            <v>0</v>
          </cell>
          <cell r="AE5720">
            <v>0</v>
          </cell>
          <cell r="AF5720">
            <v>1456.68</v>
          </cell>
          <cell r="AO5720">
            <v>3.66</v>
          </cell>
          <cell r="AV5720">
            <v>1</v>
          </cell>
          <cell r="BA5720">
            <v>1</v>
          </cell>
          <cell r="BZ5720">
            <v>0</v>
          </cell>
          <cell r="CA5720">
            <v>0</v>
          </cell>
          <cell r="CS5720">
            <v>0</v>
          </cell>
          <cell r="DG5720" t="str">
            <v>)*1*398</v>
          </cell>
        </row>
        <row r="5722">
          <cell r="G5722" t="str">
            <v>Уход за металлическим ограждением</v>
          </cell>
        </row>
        <row r="5752">
          <cell r="G5752" t="str">
            <v>ул. Варварка</v>
          </cell>
        </row>
        <row r="5782">
          <cell r="G5782" t="str">
            <v>Москворецкая набережная( уход за бортовыми камнями, уход за покрытиями пандусов)</v>
          </cell>
        </row>
        <row r="5786">
          <cell r="G5786" t="str">
            <v>Уход за бортовыми камнями</v>
          </cell>
        </row>
        <row r="5790">
          <cell r="F5790" t="str">
            <v>5.3-1101-13-1/1</v>
          </cell>
          <cell r="G5790" t="str">
            <v>Подметание вручную дорожек и площадок с твердым покрытием ( очистка бортовых камней )</v>
          </cell>
          <cell r="H5790" t="str">
            <v>100 м2</v>
          </cell>
          <cell r="I5790">
            <v>1.8551</v>
          </cell>
          <cell r="S5790">
            <v>51254.85</v>
          </cell>
          <cell r="U5790">
            <v>206.73234400000001</v>
          </cell>
          <cell r="X5790">
            <v>35878.400000000001</v>
          </cell>
          <cell r="Y5790">
            <v>5125.49</v>
          </cell>
          <cell r="AE5790">
            <v>0</v>
          </cell>
          <cell r="AF5790">
            <v>27629.16</v>
          </cell>
          <cell r="AO5790">
            <v>34.71</v>
          </cell>
          <cell r="AQ5790">
            <v>0.14000000000000001</v>
          </cell>
          <cell r="AT5790">
            <v>70</v>
          </cell>
          <cell r="AU5790">
            <v>10</v>
          </cell>
          <cell r="AV5790">
            <v>1</v>
          </cell>
          <cell r="BA5790">
            <v>1</v>
          </cell>
          <cell r="BZ5790">
            <v>70</v>
          </cell>
          <cell r="CA5790">
            <v>10</v>
          </cell>
          <cell r="CS5790">
            <v>0</v>
          </cell>
          <cell r="DG5790" t="str">
            <v>)*2*398</v>
          </cell>
          <cell r="DI5790" t="str">
            <v>)*2*398</v>
          </cell>
        </row>
        <row r="5792">
          <cell r="G5792" t="str">
            <v>Уход за бортовыми камнями</v>
          </cell>
        </row>
        <row r="5822">
          <cell r="G5822" t="str">
            <v>Содержание покрытий пандусов( S=31,34 м2)( 21 шт.)</v>
          </cell>
        </row>
        <row r="5826">
          <cell r="F5826" t="str">
            <v>5.3-1101-13-1/1</v>
          </cell>
          <cell r="G5826" t="str">
            <v>Подметание вручную дорожек и площадок с твердым покрытием</v>
          </cell>
          <cell r="H5826" t="str">
            <v>100 м2</v>
          </cell>
          <cell r="I5826">
            <v>0.31340000000000001</v>
          </cell>
          <cell r="S5826">
            <v>12988.47</v>
          </cell>
          <cell r="U5826">
            <v>52.387944000000012</v>
          </cell>
          <cell r="X5826">
            <v>9091.93</v>
          </cell>
          <cell r="Y5826">
            <v>1298.8499999999999</v>
          </cell>
          <cell r="AE5826">
            <v>0</v>
          </cell>
          <cell r="AF5826">
            <v>41443.74</v>
          </cell>
          <cell r="AO5826">
            <v>34.71</v>
          </cell>
          <cell r="AQ5826">
            <v>0.14000000000000001</v>
          </cell>
          <cell r="AT5826">
            <v>70</v>
          </cell>
          <cell r="AU5826">
            <v>10</v>
          </cell>
          <cell r="AV5826">
            <v>1</v>
          </cell>
          <cell r="BA5826">
            <v>1</v>
          </cell>
          <cell r="BZ5826">
            <v>70</v>
          </cell>
          <cell r="CA5826">
            <v>10</v>
          </cell>
          <cell r="CS5826">
            <v>0</v>
          </cell>
          <cell r="DG5826" t="str">
            <v>)*3*398</v>
          </cell>
          <cell r="DI5826" t="str">
            <v>)*3*398</v>
          </cell>
        </row>
        <row r="5827">
          <cell r="F5827" t="str">
            <v>5.3-1101-13-1/1</v>
          </cell>
          <cell r="G5827" t="str">
            <v>Подметание вручную дорожек и площадок с твердым покрытием (  дополнительное подметание покрытий в осенний период)</v>
          </cell>
          <cell r="H5827" t="str">
            <v>100 м2</v>
          </cell>
          <cell r="I5827">
            <v>0.31340000000000001</v>
          </cell>
          <cell r="S5827">
            <v>652.69000000000005</v>
          </cell>
          <cell r="U5827">
            <v>2.6325600000000002</v>
          </cell>
          <cell r="X5827">
            <v>456.88</v>
          </cell>
          <cell r="Y5827">
            <v>65.27</v>
          </cell>
          <cell r="AE5827">
            <v>0</v>
          </cell>
          <cell r="AF5827">
            <v>2082.6</v>
          </cell>
          <cell r="AO5827">
            <v>34.71</v>
          </cell>
          <cell r="AQ5827">
            <v>0.14000000000000001</v>
          </cell>
          <cell r="AT5827">
            <v>70</v>
          </cell>
          <cell r="AU5827">
            <v>10</v>
          </cell>
          <cell r="AV5827">
            <v>1</v>
          </cell>
          <cell r="BA5827">
            <v>1</v>
          </cell>
          <cell r="BZ5827">
            <v>70</v>
          </cell>
          <cell r="CA5827">
            <v>10</v>
          </cell>
          <cell r="CS5827">
            <v>0</v>
          </cell>
          <cell r="DG5827" t="str">
            <v>)*1*60</v>
          </cell>
          <cell r="DI5827" t="str">
            <v>)*1*60</v>
          </cell>
        </row>
        <row r="5828">
          <cell r="F5828" t="str">
            <v>5.3-1101-14-1/1</v>
          </cell>
          <cell r="G5828" t="str">
            <v>Полив дорожек из шланга вручную</v>
          </cell>
          <cell r="H5828" t="str">
            <v>100 м2</v>
          </cell>
          <cell r="I5828">
            <v>0.31340000000000001</v>
          </cell>
          <cell r="P5828">
            <v>239.19</v>
          </cell>
          <cell r="S5828">
            <v>1818.16</v>
          </cell>
          <cell r="U5828">
            <v>7.3335600000000012</v>
          </cell>
          <cell r="X5828">
            <v>1272.71</v>
          </cell>
          <cell r="Y5828">
            <v>181.82</v>
          </cell>
          <cell r="AE5828">
            <v>0</v>
          </cell>
          <cell r="AF5828">
            <v>5801.4</v>
          </cell>
          <cell r="AL5828">
            <v>4.24</v>
          </cell>
          <cell r="AO5828">
            <v>32.229999999999997</v>
          </cell>
          <cell r="AQ5828">
            <v>0.13</v>
          </cell>
          <cell r="AT5828">
            <v>70</v>
          </cell>
          <cell r="AU5828">
            <v>10</v>
          </cell>
          <cell r="AV5828">
            <v>1</v>
          </cell>
          <cell r="AW5828">
            <v>1</v>
          </cell>
          <cell r="BA5828">
            <v>1</v>
          </cell>
          <cell r="BC5828">
            <v>1</v>
          </cell>
          <cell r="BZ5828">
            <v>70</v>
          </cell>
          <cell r="CA5828">
            <v>10</v>
          </cell>
          <cell r="CS5828">
            <v>0</v>
          </cell>
          <cell r="DD5828" t="str">
            <v>)*2*90</v>
          </cell>
          <cell r="DG5828" t="str">
            <v>)*2*90</v>
          </cell>
          <cell r="DI5828" t="str">
            <v>)*2*90</v>
          </cell>
        </row>
        <row r="5829">
          <cell r="F5829" t="str">
            <v>21.1-25-13</v>
          </cell>
          <cell r="G5829" t="str">
            <v>Вода</v>
          </cell>
          <cell r="H5829" t="str">
            <v>м3</v>
          </cell>
          <cell r="I5829">
            <v>-5.6412000000000004</v>
          </cell>
          <cell r="O5829">
            <v>-239.41</v>
          </cell>
          <cell r="X5829">
            <v>0</v>
          </cell>
          <cell r="Y5829">
            <v>0</v>
          </cell>
          <cell r="AE5829">
            <v>0</v>
          </cell>
          <cell r="AF5829">
            <v>0</v>
          </cell>
          <cell r="AK5829">
            <v>42.44</v>
          </cell>
          <cell r="AV5829">
            <v>1</v>
          </cell>
          <cell r="AW5829">
            <v>1</v>
          </cell>
          <cell r="BC5829">
            <v>1</v>
          </cell>
          <cell r="BZ5829">
            <v>70</v>
          </cell>
          <cell r="CA5829">
            <v>10</v>
          </cell>
          <cell r="CS5829">
            <v>0</v>
          </cell>
        </row>
        <row r="5831">
          <cell r="G5831" t="str">
            <v>Содержание покрытий пандусов( S=31,34 м2)( 21 шт.)</v>
          </cell>
        </row>
        <row r="5861">
          <cell r="G5861" t="str">
            <v>Москворецкая набережная( уход за бортовыми камнями, уход за покрытиями пандусов)</v>
          </cell>
        </row>
        <row r="5891">
          <cell r="G5891" t="str">
            <v>"Патриаршее подворье"</v>
          </cell>
        </row>
        <row r="5895">
          <cell r="G5895" t="str">
            <v>Уход за лестницами</v>
          </cell>
        </row>
        <row r="5899">
          <cell r="F5899" t="str">
            <v>5.3-1101-13-1/1</v>
          </cell>
          <cell r="G5899" t="str">
            <v>Подметание вручную дорожек и площадок с твердым покрытием</v>
          </cell>
          <cell r="H5899" t="str">
            <v>100 м2</v>
          </cell>
          <cell r="I5899">
            <v>0.88700000000000001</v>
          </cell>
          <cell r="S5899">
            <v>24507.06</v>
          </cell>
          <cell r="U5899">
            <v>98.847280000000012</v>
          </cell>
          <cell r="X5899">
            <v>17154.939999999999</v>
          </cell>
          <cell r="Y5899">
            <v>2450.71</v>
          </cell>
          <cell r="AE5899">
            <v>0</v>
          </cell>
          <cell r="AF5899">
            <v>27629.16</v>
          </cell>
          <cell r="AO5899">
            <v>34.71</v>
          </cell>
          <cell r="AQ5899">
            <v>0.14000000000000001</v>
          </cell>
          <cell r="AT5899">
            <v>70</v>
          </cell>
          <cell r="AU5899">
            <v>10</v>
          </cell>
          <cell r="AV5899">
            <v>1</v>
          </cell>
          <cell r="BA5899">
            <v>1</v>
          </cell>
          <cell r="BZ5899">
            <v>70</v>
          </cell>
          <cell r="CA5899">
            <v>10</v>
          </cell>
          <cell r="CS5899">
            <v>0</v>
          </cell>
          <cell r="DG5899" t="str">
            <v>)*2*398</v>
          </cell>
          <cell r="DI5899" t="str">
            <v>)*2*398</v>
          </cell>
        </row>
        <row r="5900">
          <cell r="F5900" t="str">
            <v>5.3-1101-14-1/1</v>
          </cell>
          <cell r="G5900" t="str">
            <v>Полив дорожек из шланга вручную( промывка пролета)</v>
          </cell>
          <cell r="H5900" t="str">
            <v>100 м2</v>
          </cell>
          <cell r="I5900">
            <v>0.88700000000000001</v>
          </cell>
          <cell r="P5900">
            <v>218.13</v>
          </cell>
          <cell r="S5900">
            <v>1658.1</v>
          </cell>
          <cell r="U5900">
            <v>6.6879800000000005</v>
          </cell>
          <cell r="X5900">
            <v>1160.67</v>
          </cell>
          <cell r="Y5900">
            <v>165.81</v>
          </cell>
          <cell r="AE5900">
            <v>0</v>
          </cell>
          <cell r="AF5900">
            <v>1869.34</v>
          </cell>
          <cell r="AL5900">
            <v>4.24</v>
          </cell>
          <cell r="AO5900">
            <v>32.229999999999997</v>
          </cell>
          <cell r="AQ5900">
            <v>0.13</v>
          </cell>
          <cell r="AT5900">
            <v>70</v>
          </cell>
          <cell r="AU5900">
            <v>10</v>
          </cell>
          <cell r="AV5900">
            <v>1</v>
          </cell>
          <cell r="AW5900">
            <v>1</v>
          </cell>
          <cell r="BA5900">
            <v>1</v>
          </cell>
          <cell r="BC5900">
            <v>1</v>
          </cell>
          <cell r="BZ5900">
            <v>70</v>
          </cell>
          <cell r="CA5900">
            <v>10</v>
          </cell>
          <cell r="CS5900">
            <v>0</v>
          </cell>
          <cell r="DD5900" t="str">
            <v>)*1*58</v>
          </cell>
          <cell r="DG5900" t="str">
            <v>)*1*58</v>
          </cell>
          <cell r="DI5900" t="str">
            <v>)*1*58</v>
          </cell>
        </row>
        <row r="5901">
          <cell r="F5901" t="str">
            <v>21.1-25-13</v>
          </cell>
          <cell r="G5901" t="str">
            <v>Вода</v>
          </cell>
          <cell r="H5901" t="str">
            <v>м3</v>
          </cell>
          <cell r="I5901">
            <v>-5.1445999999999996</v>
          </cell>
          <cell r="O5901">
            <v>-218.34</v>
          </cell>
          <cell r="X5901">
            <v>0</v>
          </cell>
          <cell r="Y5901">
            <v>0</v>
          </cell>
          <cell r="AE5901">
            <v>0</v>
          </cell>
          <cell r="AF5901">
            <v>0</v>
          </cell>
          <cell r="AK5901">
            <v>42.44</v>
          </cell>
          <cell r="AV5901">
            <v>1</v>
          </cell>
          <cell r="AW5901">
            <v>1</v>
          </cell>
          <cell r="BC5901">
            <v>1</v>
          </cell>
          <cell r="BZ5901">
            <v>70</v>
          </cell>
          <cell r="CA5901">
            <v>10</v>
          </cell>
          <cell r="CS5901">
            <v>0</v>
          </cell>
        </row>
        <row r="5903">
          <cell r="G5903" t="str">
            <v>Уход за лестницами</v>
          </cell>
        </row>
        <row r="5933">
          <cell r="G5933" t="str">
            <v>Подпорные стенки</v>
          </cell>
        </row>
        <row r="5937">
          <cell r="F5937" t="str">
            <v>5.3-1101-5-1/1</v>
          </cell>
          <cell r="G5937" t="str">
            <v>Промывка оград железобетонных от пыли и грязи водой под напором( промывка гранитных и ж/б подпорных стен)( прим.)</v>
          </cell>
          <cell r="H5937" t="str">
            <v>100 м2</v>
          </cell>
          <cell r="I5937">
            <v>6.3482000000000003</v>
          </cell>
          <cell r="P5937">
            <v>646.5</v>
          </cell>
          <cell r="Q5937">
            <v>42046.92</v>
          </cell>
          <cell r="R5937">
            <v>15507.13</v>
          </cell>
          <cell r="S5937">
            <v>6484.56</v>
          </cell>
          <cell r="U5937">
            <v>26.154584000000003</v>
          </cell>
          <cell r="X5937">
            <v>4539.1899999999996</v>
          </cell>
          <cell r="Y5937">
            <v>648.46</v>
          </cell>
          <cell r="AE5937">
            <v>2442.7600000000002</v>
          </cell>
          <cell r="AF5937">
            <v>1021.48</v>
          </cell>
          <cell r="AL5937">
            <v>25.46</v>
          </cell>
          <cell r="AM5937">
            <v>1655.86</v>
          </cell>
          <cell r="AN5937">
            <v>610.69000000000005</v>
          </cell>
          <cell r="AO5937">
            <v>255.37</v>
          </cell>
          <cell r="AQ5937">
            <v>1.03</v>
          </cell>
          <cell r="AT5937">
            <v>70</v>
          </cell>
          <cell r="AU5937">
            <v>10</v>
          </cell>
          <cell r="AV5937">
            <v>1</v>
          </cell>
          <cell r="AW5937">
            <v>1</v>
          </cell>
          <cell r="BA5937">
            <v>1</v>
          </cell>
          <cell r="BB5937">
            <v>1</v>
          </cell>
          <cell r="BC5937">
            <v>1</v>
          </cell>
          <cell r="BS5937">
            <v>1</v>
          </cell>
          <cell r="BZ5937">
            <v>70</v>
          </cell>
          <cell r="CA5937">
            <v>10</v>
          </cell>
          <cell r="CS5937">
            <v>2442.7600000000002</v>
          </cell>
          <cell r="DD5937" t="str">
            <v>)*1*4</v>
          </cell>
          <cell r="DE5937" t="str">
            <v>)*1*4</v>
          </cell>
          <cell r="DF5937" t="str">
            <v>)*1*4</v>
          </cell>
          <cell r="DG5937" t="str">
            <v>)*1*4</v>
          </cell>
          <cell r="DI5937" t="str">
            <v>)*1*4</v>
          </cell>
        </row>
        <row r="5938">
          <cell r="F5938" t="str">
            <v>21.1-25-13</v>
          </cell>
          <cell r="G5938" t="str">
            <v>Вода</v>
          </cell>
          <cell r="H5938" t="str">
            <v>м3</v>
          </cell>
          <cell r="I5938">
            <v>-15.23568</v>
          </cell>
          <cell r="O5938">
            <v>-646.6</v>
          </cell>
          <cell r="X5938">
            <v>0</v>
          </cell>
          <cell r="Y5938">
            <v>0</v>
          </cell>
          <cell r="AE5938">
            <v>0</v>
          </cell>
          <cell r="AF5938">
            <v>0</v>
          </cell>
          <cell r="AK5938">
            <v>42.44</v>
          </cell>
          <cell r="AV5938">
            <v>1</v>
          </cell>
          <cell r="AW5938">
            <v>1</v>
          </cell>
          <cell r="BC5938">
            <v>1</v>
          </cell>
          <cell r="BZ5938">
            <v>70</v>
          </cell>
          <cell r="CA5938">
            <v>10</v>
          </cell>
          <cell r="CS5938">
            <v>0</v>
          </cell>
        </row>
        <row r="5939">
          <cell r="F5939" t="str">
            <v>5.3-1101-7-1/1</v>
          </cell>
          <cell r="G5939" t="str">
            <v>Протирка оград железобетонных от пыли и грязи( протирка подпорных стен)(прим.)</v>
          </cell>
          <cell r="H5939" t="str">
            <v>100 м2</v>
          </cell>
          <cell r="I5939">
            <v>6.3482000000000003</v>
          </cell>
          <cell r="P5939">
            <v>344.07</v>
          </cell>
          <cell r="S5939">
            <v>114108.26</v>
          </cell>
          <cell r="U5939">
            <v>460.24450000000002</v>
          </cell>
          <cell r="X5939">
            <v>79875.78</v>
          </cell>
          <cell r="Y5939">
            <v>11410.83</v>
          </cell>
          <cell r="AE5939">
            <v>0</v>
          </cell>
          <cell r="AF5939">
            <v>17974.900000000001</v>
          </cell>
          <cell r="AL5939">
            <v>5.42</v>
          </cell>
          <cell r="AO5939">
            <v>1797.49</v>
          </cell>
          <cell r="AQ5939">
            <v>7.25</v>
          </cell>
          <cell r="AT5939">
            <v>70</v>
          </cell>
          <cell r="AU5939">
            <v>10</v>
          </cell>
          <cell r="AV5939">
            <v>1</v>
          </cell>
          <cell r="AW5939">
            <v>1</v>
          </cell>
          <cell r="BA5939">
            <v>1</v>
          </cell>
          <cell r="BC5939">
            <v>1</v>
          </cell>
          <cell r="BZ5939">
            <v>70</v>
          </cell>
          <cell r="CA5939">
            <v>10</v>
          </cell>
          <cell r="CS5939">
            <v>0</v>
          </cell>
          <cell r="DD5939" t="str">
            <v>)*1*10</v>
          </cell>
          <cell r="DG5939" t="str">
            <v>)*1*10</v>
          </cell>
          <cell r="DI5939" t="str">
            <v>)*1*10</v>
          </cell>
        </row>
        <row r="5940">
          <cell r="F5940" t="str">
            <v>21.1-25-13</v>
          </cell>
          <cell r="G5940" t="str">
            <v>Вода</v>
          </cell>
          <cell r="H5940" t="str">
            <v>м3</v>
          </cell>
          <cell r="I5940">
            <v>-1.2696400000000001</v>
          </cell>
          <cell r="O5940">
            <v>-53.88</v>
          </cell>
          <cell r="X5940">
            <v>0</v>
          </cell>
          <cell r="Y5940">
            <v>0</v>
          </cell>
          <cell r="AE5940">
            <v>0</v>
          </cell>
          <cell r="AF5940">
            <v>0</v>
          </cell>
          <cell r="AK5940">
            <v>42.44</v>
          </cell>
          <cell r="AV5940">
            <v>1</v>
          </cell>
          <cell r="AW5940">
            <v>1</v>
          </cell>
          <cell r="BC5940">
            <v>1</v>
          </cell>
          <cell r="BZ5940">
            <v>70</v>
          </cell>
          <cell r="CA5940">
            <v>10</v>
          </cell>
          <cell r="CS5940">
            <v>0</v>
          </cell>
        </row>
        <row r="5942">
          <cell r="G5942" t="str">
            <v>Подпорные стенки</v>
          </cell>
        </row>
        <row r="5972">
          <cell r="G5972" t="str">
            <v>"Патриаршее подворье"</v>
          </cell>
        </row>
        <row r="6002">
          <cell r="G6002" t="str">
            <v>Содержание покрытий тротуара " Храма зачатия праведной Анны"( наб. Москворецкая, д.3 )</v>
          </cell>
        </row>
        <row r="6006">
          <cell r="G6006" t="str">
            <v>Содержание покрытий( S=100,3 м2)</v>
          </cell>
        </row>
        <row r="6010">
          <cell r="F6010" t="str">
            <v>5.3-1101-13-1/1</v>
          </cell>
          <cell r="G6010" t="str">
            <v>Подметание вручную дорожек и площадок с твердым покрытием</v>
          </cell>
          <cell r="H6010" t="str">
            <v>100 м2</v>
          </cell>
          <cell r="I6010">
            <v>1.0029999999999999</v>
          </cell>
          <cell r="S6010">
            <v>41568.07</v>
          </cell>
          <cell r="U6010">
            <v>167.66148000000001</v>
          </cell>
          <cell r="X6010">
            <v>29097.65</v>
          </cell>
          <cell r="Y6010">
            <v>4156.8100000000004</v>
          </cell>
          <cell r="AE6010">
            <v>0</v>
          </cell>
          <cell r="AF6010">
            <v>41443.74</v>
          </cell>
          <cell r="AO6010">
            <v>34.71</v>
          </cell>
          <cell r="AQ6010">
            <v>0.14000000000000001</v>
          </cell>
          <cell r="AT6010">
            <v>70</v>
          </cell>
          <cell r="AU6010">
            <v>10</v>
          </cell>
          <cell r="AV6010">
            <v>1</v>
          </cell>
          <cell r="BA6010">
            <v>1</v>
          </cell>
          <cell r="BZ6010">
            <v>70</v>
          </cell>
          <cell r="CA6010">
            <v>10</v>
          </cell>
          <cell r="CS6010">
            <v>0</v>
          </cell>
          <cell r="DG6010" t="str">
            <v>)*3*398</v>
          </cell>
          <cell r="DI6010" t="str">
            <v>)*3*398</v>
          </cell>
        </row>
        <row r="6011">
          <cell r="F6011" t="str">
            <v>5.3-1101-13-1/1</v>
          </cell>
          <cell r="G6011" t="str">
            <v>Подметание вручную дорожек и площадок с твердым покрытием (  дополнительное подметание покрытий в осенний период)</v>
          </cell>
          <cell r="H6011" t="str">
            <v>100 м2</v>
          </cell>
          <cell r="I6011">
            <v>1.0029999999999999</v>
          </cell>
          <cell r="S6011">
            <v>2088.85</v>
          </cell>
          <cell r="U6011">
            <v>8.4252000000000002</v>
          </cell>
          <cell r="X6011">
            <v>1462.2</v>
          </cell>
          <cell r="Y6011">
            <v>208.89</v>
          </cell>
          <cell r="AE6011">
            <v>0</v>
          </cell>
          <cell r="AF6011">
            <v>2082.6</v>
          </cell>
          <cell r="AO6011">
            <v>34.71</v>
          </cell>
          <cell r="AQ6011">
            <v>0.14000000000000001</v>
          </cell>
          <cell r="AT6011">
            <v>70</v>
          </cell>
          <cell r="AU6011">
            <v>10</v>
          </cell>
          <cell r="AV6011">
            <v>1</v>
          </cell>
          <cell r="BA6011">
            <v>1</v>
          </cell>
          <cell r="BZ6011">
            <v>70</v>
          </cell>
          <cell r="CA6011">
            <v>10</v>
          </cell>
          <cell r="CS6011">
            <v>0</v>
          </cell>
          <cell r="DG6011" t="str">
            <v>)*1*60</v>
          </cell>
          <cell r="DI6011" t="str">
            <v>)*1*60</v>
          </cell>
        </row>
        <row r="6012">
          <cell r="F6012" t="str">
            <v>5.3-1101-14-1/1</v>
          </cell>
          <cell r="G6012" t="str">
            <v>Полив дорожек из шланга вручную</v>
          </cell>
          <cell r="H6012" t="str">
            <v>100 м2</v>
          </cell>
          <cell r="I6012">
            <v>1.0029999999999999</v>
          </cell>
          <cell r="P6012">
            <v>765.49</v>
          </cell>
          <cell r="S6012">
            <v>5818.8</v>
          </cell>
          <cell r="U6012">
            <v>23.470199999999998</v>
          </cell>
          <cell r="X6012">
            <v>4073.16</v>
          </cell>
          <cell r="Y6012">
            <v>581.88</v>
          </cell>
          <cell r="AE6012">
            <v>0</v>
          </cell>
          <cell r="AF6012">
            <v>5801.4</v>
          </cell>
          <cell r="AL6012">
            <v>4.24</v>
          </cell>
          <cell r="AO6012">
            <v>32.229999999999997</v>
          </cell>
          <cell r="AQ6012">
            <v>0.13</v>
          </cell>
          <cell r="AT6012">
            <v>70</v>
          </cell>
          <cell r="AU6012">
            <v>10</v>
          </cell>
          <cell r="AV6012">
            <v>1</v>
          </cell>
          <cell r="AW6012">
            <v>1</v>
          </cell>
          <cell r="BA6012">
            <v>1</v>
          </cell>
          <cell r="BC6012">
            <v>1</v>
          </cell>
          <cell r="BZ6012">
            <v>70</v>
          </cell>
          <cell r="CA6012">
            <v>10</v>
          </cell>
          <cell r="CS6012">
            <v>0</v>
          </cell>
          <cell r="DD6012" t="str">
            <v>)*2*90</v>
          </cell>
          <cell r="DG6012" t="str">
            <v>)*2*90</v>
          </cell>
          <cell r="DI6012" t="str">
            <v>)*2*90</v>
          </cell>
        </row>
        <row r="6013">
          <cell r="F6013" t="str">
            <v>21.1-25-13</v>
          </cell>
          <cell r="G6013" t="str">
            <v>Вода</v>
          </cell>
          <cell r="H6013" t="str">
            <v>м3</v>
          </cell>
          <cell r="I6013">
            <v>-18.053999999999998</v>
          </cell>
          <cell r="O6013">
            <v>-766.21</v>
          </cell>
          <cell r="X6013">
            <v>0</v>
          </cell>
          <cell r="Y6013">
            <v>0</v>
          </cell>
          <cell r="AE6013">
            <v>0</v>
          </cell>
          <cell r="AF6013">
            <v>0</v>
          </cell>
          <cell r="AK6013">
            <v>42.44</v>
          </cell>
          <cell r="AV6013">
            <v>1</v>
          </cell>
          <cell r="AW6013">
            <v>1</v>
          </cell>
          <cell r="BC6013">
            <v>1</v>
          </cell>
          <cell r="BZ6013">
            <v>70</v>
          </cell>
          <cell r="CA6013">
            <v>10</v>
          </cell>
          <cell r="CS6013">
            <v>0</v>
          </cell>
        </row>
        <row r="6015">
          <cell r="G6015" t="str">
            <v>Содержание покрытий( S=100,3 м2)</v>
          </cell>
        </row>
        <row r="6045">
          <cell r="G6045" t="str">
            <v>Уход за лестницами</v>
          </cell>
        </row>
        <row r="6049">
          <cell r="F6049" t="str">
            <v>5.3-1101-13-1/1</v>
          </cell>
          <cell r="G6049" t="str">
            <v>Подметание вручную дорожек и площадок с твердым покрытием</v>
          </cell>
          <cell r="H6049" t="str">
            <v>100 м2</v>
          </cell>
          <cell r="I6049">
            <v>9.0399999999999994E-2</v>
          </cell>
          <cell r="S6049">
            <v>2497.6799999999998</v>
          </cell>
          <cell r="U6049">
            <v>10.074176</v>
          </cell>
          <cell r="X6049">
            <v>1748.38</v>
          </cell>
          <cell r="Y6049">
            <v>249.77</v>
          </cell>
          <cell r="AE6049">
            <v>0</v>
          </cell>
          <cell r="AF6049">
            <v>27629.16</v>
          </cell>
          <cell r="AO6049">
            <v>34.71</v>
          </cell>
          <cell r="AQ6049">
            <v>0.14000000000000001</v>
          </cell>
          <cell r="AT6049">
            <v>70</v>
          </cell>
          <cell r="AU6049">
            <v>10</v>
          </cell>
          <cell r="AV6049">
            <v>1</v>
          </cell>
          <cell r="BA6049">
            <v>1</v>
          </cell>
          <cell r="BZ6049">
            <v>70</v>
          </cell>
          <cell r="CA6049">
            <v>10</v>
          </cell>
          <cell r="CS6049">
            <v>0</v>
          </cell>
          <cell r="DG6049" t="str">
            <v>)*2*398</v>
          </cell>
          <cell r="DI6049" t="str">
            <v>)*2*398</v>
          </cell>
        </row>
        <row r="6050">
          <cell r="F6050" t="str">
            <v>5.3-1101-14-1/1</v>
          </cell>
          <cell r="G6050" t="str">
            <v>Полив дорожек из шланга вручную( промывка пролета)</v>
          </cell>
          <cell r="H6050" t="str">
            <v>100 м2</v>
          </cell>
          <cell r="I6050">
            <v>9.0399999999999994E-2</v>
          </cell>
          <cell r="P6050">
            <v>22.23</v>
          </cell>
          <cell r="S6050">
            <v>168.99</v>
          </cell>
          <cell r="U6050">
            <v>0.681616</v>
          </cell>
          <cell r="X6050">
            <v>118.29</v>
          </cell>
          <cell r="Y6050">
            <v>16.899999999999999</v>
          </cell>
          <cell r="AE6050">
            <v>0</v>
          </cell>
          <cell r="AF6050">
            <v>1869.34</v>
          </cell>
          <cell r="AL6050">
            <v>4.24</v>
          </cell>
          <cell r="AO6050">
            <v>32.229999999999997</v>
          </cell>
          <cell r="AQ6050">
            <v>0.13</v>
          </cell>
          <cell r="AT6050">
            <v>70</v>
          </cell>
          <cell r="AU6050">
            <v>10</v>
          </cell>
          <cell r="AV6050">
            <v>1</v>
          </cell>
          <cell r="AW6050">
            <v>1</v>
          </cell>
          <cell r="BA6050">
            <v>1</v>
          </cell>
          <cell r="BC6050">
            <v>1</v>
          </cell>
          <cell r="BZ6050">
            <v>70</v>
          </cell>
          <cell r="CA6050">
            <v>10</v>
          </cell>
          <cell r="CS6050">
            <v>0</v>
          </cell>
          <cell r="DD6050" t="str">
            <v>)*1*58</v>
          </cell>
          <cell r="DG6050" t="str">
            <v>)*1*58</v>
          </cell>
          <cell r="DI6050" t="str">
            <v>)*1*58</v>
          </cell>
        </row>
        <row r="6051">
          <cell r="F6051" t="str">
            <v>21.1-25-13</v>
          </cell>
          <cell r="G6051" t="str">
            <v>Вода</v>
          </cell>
          <cell r="H6051" t="str">
            <v>м3</v>
          </cell>
          <cell r="I6051">
            <v>-0.52432000000000001</v>
          </cell>
          <cell r="O6051">
            <v>-22.25</v>
          </cell>
          <cell r="X6051">
            <v>0</v>
          </cell>
          <cell r="Y6051">
            <v>0</v>
          </cell>
          <cell r="AE6051">
            <v>0</v>
          </cell>
          <cell r="AF6051">
            <v>0</v>
          </cell>
          <cell r="AK6051">
            <v>42.44</v>
          </cell>
          <cell r="AV6051">
            <v>1</v>
          </cell>
          <cell r="AW6051">
            <v>1</v>
          </cell>
          <cell r="BC6051">
            <v>1</v>
          </cell>
          <cell r="BZ6051">
            <v>70</v>
          </cell>
          <cell r="CA6051">
            <v>10</v>
          </cell>
          <cell r="CS6051">
            <v>0</v>
          </cell>
        </row>
        <row r="6053">
          <cell r="G6053" t="str">
            <v>Уход за лестницами</v>
          </cell>
        </row>
        <row r="6083">
          <cell r="G6083" t="str">
            <v>Подпорные стенки</v>
          </cell>
        </row>
        <row r="6087">
          <cell r="F6087" t="str">
            <v>5.3-1101-5-1/1</v>
          </cell>
          <cell r="G6087" t="str">
            <v>Промывка оград железобетонных от пыли и грязи водой под напором( промывка гранитных  подпорных стен)( прим.)</v>
          </cell>
          <cell r="H6087" t="str">
            <v>100 м2</v>
          </cell>
          <cell r="I6087">
            <v>0.127</v>
          </cell>
          <cell r="P6087">
            <v>12.93</v>
          </cell>
          <cell r="Q6087">
            <v>841.18</v>
          </cell>
          <cell r="R6087">
            <v>310.23</v>
          </cell>
          <cell r="S6087">
            <v>129.72999999999999</v>
          </cell>
          <cell r="U6087">
            <v>0.52324000000000004</v>
          </cell>
          <cell r="X6087">
            <v>90.81</v>
          </cell>
          <cell r="Y6087">
            <v>12.97</v>
          </cell>
          <cell r="AE6087">
            <v>2442.7600000000002</v>
          </cell>
          <cell r="AF6087">
            <v>1021.48</v>
          </cell>
          <cell r="AL6087">
            <v>25.46</v>
          </cell>
          <cell r="AM6087">
            <v>1655.86</v>
          </cell>
          <cell r="AN6087">
            <v>610.69000000000005</v>
          </cell>
          <cell r="AO6087">
            <v>255.37</v>
          </cell>
          <cell r="AQ6087">
            <v>1.03</v>
          </cell>
          <cell r="AT6087">
            <v>70</v>
          </cell>
          <cell r="AU6087">
            <v>10</v>
          </cell>
          <cell r="AV6087">
            <v>1</v>
          </cell>
          <cell r="AW6087">
            <v>1</v>
          </cell>
          <cell r="BA6087">
            <v>1</v>
          </cell>
          <cell r="BB6087">
            <v>1</v>
          </cell>
          <cell r="BC6087">
            <v>1</v>
          </cell>
          <cell r="BS6087">
            <v>1</v>
          </cell>
          <cell r="BZ6087">
            <v>70</v>
          </cell>
          <cell r="CA6087">
            <v>10</v>
          </cell>
          <cell r="CS6087">
            <v>2442.7600000000002</v>
          </cell>
          <cell r="DD6087" t="str">
            <v>)*1*4</v>
          </cell>
          <cell r="DE6087" t="str">
            <v>)*1*4</v>
          </cell>
          <cell r="DF6087" t="str">
            <v>)*1*4</v>
          </cell>
          <cell r="DG6087" t="str">
            <v>)*1*4</v>
          </cell>
          <cell r="DI6087" t="str">
            <v>)*1*4</v>
          </cell>
        </row>
        <row r="6088">
          <cell r="F6088" t="str">
            <v>21.1-25-13</v>
          </cell>
          <cell r="G6088" t="str">
            <v>Вода</v>
          </cell>
          <cell r="H6088" t="str">
            <v>м3</v>
          </cell>
          <cell r="I6088">
            <v>-0.30480000000000002</v>
          </cell>
          <cell r="O6088">
            <v>-12.94</v>
          </cell>
          <cell r="X6088">
            <v>0</v>
          </cell>
          <cell r="Y6088">
            <v>0</v>
          </cell>
          <cell r="AE6088">
            <v>0</v>
          </cell>
          <cell r="AF6088">
            <v>0</v>
          </cell>
          <cell r="AK6088">
            <v>42.44</v>
          </cell>
          <cell r="AV6088">
            <v>1</v>
          </cell>
          <cell r="AW6088">
            <v>1</v>
          </cell>
          <cell r="BC6088">
            <v>1</v>
          </cell>
          <cell r="BZ6088">
            <v>70</v>
          </cell>
          <cell r="CA6088">
            <v>10</v>
          </cell>
          <cell r="CS6088">
            <v>0</v>
          </cell>
        </row>
        <row r="6089">
          <cell r="F6089" t="str">
            <v>5.3-1101-7-1/1</v>
          </cell>
          <cell r="G6089" t="str">
            <v>Протирка оград железобетонных от пыли и грязи( протирка подпорных стен)(прим.)</v>
          </cell>
          <cell r="H6089" t="str">
            <v>100 м2</v>
          </cell>
          <cell r="I6089">
            <v>0.127</v>
          </cell>
          <cell r="P6089">
            <v>6.88</v>
          </cell>
          <cell r="S6089">
            <v>2282.81</v>
          </cell>
          <cell r="U6089">
            <v>9.2074999999999996</v>
          </cell>
          <cell r="X6089">
            <v>1597.97</v>
          </cell>
          <cell r="Y6089">
            <v>228.28</v>
          </cell>
          <cell r="AE6089">
            <v>0</v>
          </cell>
          <cell r="AF6089">
            <v>17974.900000000001</v>
          </cell>
          <cell r="AL6089">
            <v>5.42</v>
          </cell>
          <cell r="AO6089">
            <v>1797.49</v>
          </cell>
          <cell r="AQ6089">
            <v>7.25</v>
          </cell>
          <cell r="AT6089">
            <v>70</v>
          </cell>
          <cell r="AU6089">
            <v>10</v>
          </cell>
          <cell r="AV6089">
            <v>1</v>
          </cell>
          <cell r="AW6089">
            <v>1</v>
          </cell>
          <cell r="BA6089">
            <v>1</v>
          </cell>
          <cell r="BC6089">
            <v>1</v>
          </cell>
          <cell r="BZ6089">
            <v>70</v>
          </cell>
          <cell r="CA6089">
            <v>10</v>
          </cell>
          <cell r="CS6089">
            <v>0</v>
          </cell>
          <cell r="DD6089" t="str">
            <v>)*1*10</v>
          </cell>
          <cell r="DG6089" t="str">
            <v>)*1*10</v>
          </cell>
          <cell r="DI6089" t="str">
            <v>)*1*10</v>
          </cell>
        </row>
        <row r="6090">
          <cell r="F6090" t="str">
            <v>21.1-25-13</v>
          </cell>
          <cell r="G6090" t="str">
            <v>Вода</v>
          </cell>
          <cell r="H6090" t="str">
            <v>м3</v>
          </cell>
          <cell r="I6090">
            <v>-2.5399999999999999E-2</v>
          </cell>
          <cell r="O6090">
            <v>-1.08</v>
          </cell>
          <cell r="X6090">
            <v>0</v>
          </cell>
          <cell r="Y6090">
            <v>0</v>
          </cell>
          <cell r="AE6090">
            <v>0</v>
          </cell>
          <cell r="AF6090">
            <v>0</v>
          </cell>
          <cell r="AK6090">
            <v>42.44</v>
          </cell>
          <cell r="AV6090">
            <v>1</v>
          </cell>
          <cell r="AW6090">
            <v>1</v>
          </cell>
          <cell r="BC6090">
            <v>1</v>
          </cell>
          <cell r="BZ6090">
            <v>70</v>
          </cell>
          <cell r="CA6090">
            <v>10</v>
          </cell>
          <cell r="CS6090">
            <v>0</v>
          </cell>
        </row>
        <row r="6092">
          <cell r="G6092" t="str">
            <v>Подпорные стенки</v>
          </cell>
        </row>
        <row r="6122">
          <cell r="G6122" t="str">
            <v>Содержание покрытий тротуара " Храма зачатия праведной Анны"( наб. Москворецкая, д.3 )</v>
          </cell>
        </row>
        <row r="6152">
          <cell r="G6152" t="str">
            <v>Китайгородский проезд</v>
          </cell>
        </row>
        <row r="6156">
          <cell r="G6156" t="str">
            <v>Содержание покрытий( S=573,66м2)</v>
          </cell>
        </row>
        <row r="6160">
          <cell r="F6160" t="str">
            <v>5.3-1101-13-1/1</v>
          </cell>
          <cell r="G6160" t="str">
            <v>Подметание вручную дорожек и площадок с твердым покрытием</v>
          </cell>
          <cell r="H6160" t="str">
            <v>100 м2</v>
          </cell>
          <cell r="I6160">
            <v>5.7366000000000001</v>
          </cell>
          <cell r="S6160">
            <v>237746.16</v>
          </cell>
          <cell r="U6160">
            <v>958.93005600000015</v>
          </cell>
          <cell r="X6160">
            <v>166422.31</v>
          </cell>
          <cell r="Y6160">
            <v>23774.62</v>
          </cell>
          <cell r="AE6160">
            <v>0</v>
          </cell>
          <cell r="AF6160">
            <v>41443.74</v>
          </cell>
          <cell r="AO6160">
            <v>34.71</v>
          </cell>
          <cell r="AQ6160">
            <v>0.14000000000000001</v>
          </cell>
          <cell r="AT6160">
            <v>70</v>
          </cell>
          <cell r="AU6160">
            <v>10</v>
          </cell>
          <cell r="AV6160">
            <v>1</v>
          </cell>
          <cell r="BA6160">
            <v>1</v>
          </cell>
          <cell r="BZ6160">
            <v>70</v>
          </cell>
          <cell r="CA6160">
            <v>10</v>
          </cell>
          <cell r="CS6160">
            <v>0</v>
          </cell>
          <cell r="DG6160" t="str">
            <v>)*3*398</v>
          </cell>
          <cell r="DI6160" t="str">
            <v>)*3*398</v>
          </cell>
        </row>
        <row r="6161">
          <cell r="F6161" t="str">
            <v>5.3-1101-13-1/1</v>
          </cell>
          <cell r="G6161" t="str">
            <v>Подметание вручную дорожек и площадок с твердым покрытием (  дополнительное подметание покрытий в осенний период)</v>
          </cell>
          <cell r="H6161" t="str">
            <v>100 м2</v>
          </cell>
          <cell r="I6161">
            <v>5.7366000000000001</v>
          </cell>
          <cell r="S6161">
            <v>11947.04</v>
          </cell>
          <cell r="U6161">
            <v>48.187440000000002</v>
          </cell>
          <cell r="X6161">
            <v>8362.93</v>
          </cell>
          <cell r="Y6161">
            <v>1194.7</v>
          </cell>
          <cell r="AE6161">
            <v>0</v>
          </cell>
          <cell r="AF6161">
            <v>2082.6</v>
          </cell>
          <cell r="AO6161">
            <v>34.71</v>
          </cell>
          <cell r="AQ6161">
            <v>0.14000000000000001</v>
          </cell>
          <cell r="AT6161">
            <v>70</v>
          </cell>
          <cell r="AU6161">
            <v>10</v>
          </cell>
          <cell r="AV6161">
            <v>1</v>
          </cell>
          <cell r="BA6161">
            <v>1</v>
          </cell>
          <cell r="BZ6161">
            <v>70</v>
          </cell>
          <cell r="CA6161">
            <v>10</v>
          </cell>
          <cell r="CS6161">
            <v>0</v>
          </cell>
          <cell r="DG6161" t="str">
            <v>)*1*60</v>
          </cell>
          <cell r="DI6161" t="str">
            <v>)*1*60</v>
          </cell>
        </row>
        <row r="6162">
          <cell r="F6162" t="str">
            <v>5.3-1101-14-1/1</v>
          </cell>
          <cell r="G6162" t="str">
            <v>Полив дорожек из шланга вручную</v>
          </cell>
          <cell r="H6162" t="str">
            <v>100 м2</v>
          </cell>
          <cell r="I6162">
            <v>5.7366000000000001</v>
          </cell>
          <cell r="P6162">
            <v>4378.17</v>
          </cell>
          <cell r="S6162">
            <v>33280.31</v>
          </cell>
          <cell r="U6162">
            <v>134.23644000000002</v>
          </cell>
          <cell r="X6162">
            <v>23296.22</v>
          </cell>
          <cell r="Y6162">
            <v>3328.03</v>
          </cell>
          <cell r="AE6162">
            <v>0</v>
          </cell>
          <cell r="AF6162">
            <v>5801.4</v>
          </cell>
          <cell r="AL6162">
            <v>4.24</v>
          </cell>
          <cell r="AO6162">
            <v>32.229999999999997</v>
          </cell>
          <cell r="AQ6162">
            <v>0.13</v>
          </cell>
          <cell r="AT6162">
            <v>70</v>
          </cell>
          <cell r="AU6162">
            <v>10</v>
          </cell>
          <cell r="AV6162">
            <v>1</v>
          </cell>
          <cell r="AW6162">
            <v>1</v>
          </cell>
          <cell r="BA6162">
            <v>1</v>
          </cell>
          <cell r="BC6162">
            <v>1</v>
          </cell>
          <cell r="BZ6162">
            <v>70</v>
          </cell>
          <cell r="CA6162">
            <v>10</v>
          </cell>
          <cell r="CS6162">
            <v>0</v>
          </cell>
          <cell r="DD6162" t="str">
            <v>)*2*90</v>
          </cell>
          <cell r="DG6162" t="str">
            <v>)*2*90</v>
          </cell>
          <cell r="DI6162" t="str">
            <v>)*2*90</v>
          </cell>
        </row>
        <row r="6163">
          <cell r="F6163" t="str">
            <v>21.1-25-13</v>
          </cell>
          <cell r="G6163" t="str">
            <v>Вода</v>
          </cell>
          <cell r="H6163" t="str">
            <v>м3</v>
          </cell>
          <cell r="I6163">
            <v>-103.25880000000001</v>
          </cell>
          <cell r="O6163">
            <v>-4382.3</v>
          </cell>
          <cell r="X6163">
            <v>0</v>
          </cell>
          <cell r="Y6163">
            <v>0</v>
          </cell>
          <cell r="AE6163">
            <v>0</v>
          </cell>
          <cell r="AF6163">
            <v>0</v>
          </cell>
          <cell r="AK6163">
            <v>42.44</v>
          </cell>
          <cell r="AV6163">
            <v>1</v>
          </cell>
          <cell r="AW6163">
            <v>1</v>
          </cell>
          <cell r="BC6163">
            <v>1</v>
          </cell>
          <cell r="BZ6163">
            <v>70</v>
          </cell>
          <cell r="CA6163">
            <v>10</v>
          </cell>
          <cell r="CS6163">
            <v>0</v>
          </cell>
        </row>
        <row r="6165">
          <cell r="G6165" t="str">
            <v>Содержание покрытий( S=573,66м2)</v>
          </cell>
        </row>
        <row r="6195">
          <cell r="G6195" t="str">
            <v>Уход за бортовыми камнями</v>
          </cell>
        </row>
        <row r="6199">
          <cell r="F6199" t="str">
            <v>5.3-1101-13-1/1</v>
          </cell>
          <cell r="G6199" t="str">
            <v>Подметание вручную дорожек и площадок с твердым покрытием ( очистка бортовых камней )</v>
          </cell>
          <cell r="H6199" t="str">
            <v>100 м2</v>
          </cell>
          <cell r="I6199">
            <v>0.28820000000000001</v>
          </cell>
          <cell r="S6199">
            <v>7962.72</v>
          </cell>
          <cell r="U6199">
            <v>32.117008000000006</v>
          </cell>
          <cell r="X6199">
            <v>5573.9</v>
          </cell>
          <cell r="Y6199">
            <v>796.27</v>
          </cell>
          <cell r="AE6199">
            <v>0</v>
          </cell>
          <cell r="AF6199">
            <v>27629.16</v>
          </cell>
          <cell r="AO6199">
            <v>34.71</v>
          </cell>
          <cell r="AQ6199">
            <v>0.14000000000000001</v>
          </cell>
          <cell r="AT6199">
            <v>70</v>
          </cell>
          <cell r="AU6199">
            <v>10</v>
          </cell>
          <cell r="AV6199">
            <v>1</v>
          </cell>
          <cell r="BA6199">
            <v>1</v>
          </cell>
          <cell r="BZ6199">
            <v>70</v>
          </cell>
          <cell r="CA6199">
            <v>10</v>
          </cell>
          <cell r="CS6199">
            <v>0</v>
          </cell>
          <cell r="DG6199" t="str">
            <v>)*2*398</v>
          </cell>
          <cell r="DI6199" t="str">
            <v>)*2*398</v>
          </cell>
        </row>
        <row r="6201">
          <cell r="G6201" t="str">
            <v>Уход за бортовыми камнями</v>
          </cell>
        </row>
        <row r="6231">
          <cell r="G6231" t="str">
            <v>Содержание покрытий пандусов( S=18 м2)( 12 шт.)</v>
          </cell>
        </row>
        <row r="6235">
          <cell r="F6235" t="str">
            <v>5.3-1101-13-1/1</v>
          </cell>
          <cell r="G6235" t="str">
            <v>Подметание вручную дорожек и площадок с твердым покрытием</v>
          </cell>
          <cell r="H6235" t="str">
            <v>100 м2</v>
          </cell>
          <cell r="I6235">
            <v>0.18</v>
          </cell>
          <cell r="S6235">
            <v>7459.87</v>
          </cell>
          <cell r="U6235">
            <v>30.088800000000003</v>
          </cell>
          <cell r="X6235">
            <v>5221.91</v>
          </cell>
          <cell r="Y6235">
            <v>745.99</v>
          </cell>
          <cell r="AE6235">
            <v>0</v>
          </cell>
          <cell r="AF6235">
            <v>41443.74</v>
          </cell>
          <cell r="AO6235">
            <v>34.71</v>
          </cell>
          <cell r="AQ6235">
            <v>0.14000000000000001</v>
          </cell>
          <cell r="AT6235">
            <v>70</v>
          </cell>
          <cell r="AU6235">
            <v>10</v>
          </cell>
          <cell r="AV6235">
            <v>1</v>
          </cell>
          <cell r="BA6235">
            <v>1</v>
          </cell>
          <cell r="BZ6235">
            <v>70</v>
          </cell>
          <cell r="CA6235">
            <v>10</v>
          </cell>
          <cell r="CS6235">
            <v>0</v>
          </cell>
          <cell r="DG6235" t="str">
            <v>)*3*398</v>
          </cell>
          <cell r="DI6235" t="str">
            <v>)*3*398</v>
          </cell>
        </row>
        <row r="6236">
          <cell r="F6236" t="str">
            <v>5.3-1101-13-1/1</v>
          </cell>
          <cell r="G6236" t="str">
            <v>Подметание вручную дорожек и площадок с твердым покрытием (  дополнительное подметание покрытий в осенний период)</v>
          </cell>
          <cell r="H6236" t="str">
            <v>100 м2</v>
          </cell>
          <cell r="I6236">
            <v>0.18</v>
          </cell>
          <cell r="S6236">
            <v>374.87</v>
          </cell>
          <cell r="U6236">
            <v>1.512</v>
          </cell>
          <cell r="X6236">
            <v>262.41000000000003</v>
          </cell>
          <cell r="Y6236">
            <v>37.49</v>
          </cell>
          <cell r="AE6236">
            <v>0</v>
          </cell>
          <cell r="AF6236">
            <v>2082.6</v>
          </cell>
          <cell r="AO6236">
            <v>34.71</v>
          </cell>
          <cell r="AQ6236">
            <v>0.14000000000000001</v>
          </cell>
          <cell r="AT6236">
            <v>70</v>
          </cell>
          <cell r="AU6236">
            <v>10</v>
          </cell>
          <cell r="AV6236">
            <v>1</v>
          </cell>
          <cell r="BA6236">
            <v>1</v>
          </cell>
          <cell r="BZ6236">
            <v>70</v>
          </cell>
          <cell r="CA6236">
            <v>10</v>
          </cell>
          <cell r="CS6236">
            <v>0</v>
          </cell>
          <cell r="DG6236" t="str">
            <v>)*1*60</v>
          </cell>
          <cell r="DI6236" t="str">
            <v>)*1*60</v>
          </cell>
        </row>
        <row r="6237">
          <cell r="F6237" t="str">
            <v>5.3-1101-14-1/1</v>
          </cell>
          <cell r="G6237" t="str">
            <v>Полив дорожек из шланга вручную</v>
          </cell>
          <cell r="H6237" t="str">
            <v>100 м2</v>
          </cell>
          <cell r="I6237">
            <v>0.18</v>
          </cell>
          <cell r="P6237">
            <v>137.38</v>
          </cell>
          <cell r="S6237">
            <v>1044.25</v>
          </cell>
          <cell r="U6237">
            <v>4.2120000000000006</v>
          </cell>
          <cell r="X6237">
            <v>730.98</v>
          </cell>
          <cell r="Y6237">
            <v>104.43</v>
          </cell>
          <cell r="AE6237">
            <v>0</v>
          </cell>
          <cell r="AF6237">
            <v>5801.4</v>
          </cell>
          <cell r="AL6237">
            <v>4.24</v>
          </cell>
          <cell r="AO6237">
            <v>32.229999999999997</v>
          </cell>
          <cell r="AQ6237">
            <v>0.13</v>
          </cell>
          <cell r="AT6237">
            <v>70</v>
          </cell>
          <cell r="AU6237">
            <v>10</v>
          </cell>
          <cell r="AV6237">
            <v>1</v>
          </cell>
          <cell r="AW6237">
            <v>1</v>
          </cell>
          <cell r="BA6237">
            <v>1</v>
          </cell>
          <cell r="BC6237">
            <v>1</v>
          </cell>
          <cell r="BZ6237">
            <v>70</v>
          </cell>
          <cell r="CA6237">
            <v>10</v>
          </cell>
          <cell r="CS6237">
            <v>0</v>
          </cell>
          <cell r="DD6237" t="str">
            <v>)*2*90</v>
          </cell>
          <cell r="DG6237" t="str">
            <v>)*2*90</v>
          </cell>
          <cell r="DI6237" t="str">
            <v>)*2*90</v>
          </cell>
        </row>
        <row r="6238">
          <cell r="F6238" t="str">
            <v>21.1-25-13</v>
          </cell>
          <cell r="G6238" t="str">
            <v>Вода</v>
          </cell>
          <cell r="H6238" t="str">
            <v>м3</v>
          </cell>
          <cell r="I6238">
            <v>-3.2400000000000007</v>
          </cell>
          <cell r="O6238">
            <v>-137.51</v>
          </cell>
          <cell r="X6238">
            <v>0</v>
          </cell>
          <cell r="Y6238">
            <v>0</v>
          </cell>
          <cell r="AE6238">
            <v>0</v>
          </cell>
          <cell r="AF6238">
            <v>0</v>
          </cell>
          <cell r="AK6238">
            <v>42.44</v>
          </cell>
          <cell r="AV6238">
            <v>1</v>
          </cell>
          <cell r="AW6238">
            <v>1</v>
          </cell>
          <cell r="BC6238">
            <v>1</v>
          </cell>
          <cell r="BZ6238">
            <v>70</v>
          </cell>
          <cell r="CA6238">
            <v>10</v>
          </cell>
          <cell r="CS6238">
            <v>0</v>
          </cell>
        </row>
        <row r="6240">
          <cell r="G6240" t="str">
            <v>Содержание покрытий пандусов( S=18 м2)( 12 шт.)</v>
          </cell>
        </row>
        <row r="6270">
          <cell r="G6270" t="str">
            <v>Китайгородский проезд</v>
          </cell>
        </row>
        <row r="6300">
          <cell r="G6300" t="str">
            <v>Летняя уборка территории ( доп. соглашение )</v>
          </cell>
        </row>
        <row r="6330">
          <cell r="G6330" t="str">
            <v>Оказание услуг по зимней и летней уборке территории( объединен. с доп. согл.) ( 25.03.2025г.)</v>
          </cell>
        </row>
        <row r="6339">
          <cell r="F6339">
            <v>0</v>
          </cell>
        </row>
        <row r="6344">
          <cell r="F6344">
            <v>19917034.440000001</v>
          </cell>
        </row>
        <row r="6345">
          <cell r="F6345">
            <v>164816004.80000001</v>
          </cell>
        </row>
        <row r="6347">
          <cell r="F6347">
            <v>0</v>
          </cell>
        </row>
        <row r="6348">
          <cell r="F6348">
            <v>0</v>
          </cell>
        </row>
        <row r="6349">
          <cell r="F6349">
            <v>352095149.86000001</v>
          </cell>
        </row>
        <row r="6350">
          <cell r="F6350">
            <v>0</v>
          </cell>
        </row>
        <row r="6359">
          <cell r="F6359">
            <v>70419029.969999999</v>
          </cell>
          <cell r="H6359" t="str">
            <v>НДС 20%</v>
          </cell>
        </row>
        <row r="6360">
          <cell r="F6360">
            <v>422514179.82999998</v>
          </cell>
          <cell r="H6360" t="str">
            <v>Всего с НДС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82"/>
  <sheetViews>
    <sheetView tabSelected="1" topLeftCell="A9" zoomScale="70" zoomScaleNormal="70" workbookViewId="0">
      <selection activeCell="A96" sqref="A96:K99"/>
    </sheetView>
  </sheetViews>
  <sheetFormatPr defaultRowHeight="12.75" x14ac:dyDescent="0.2"/>
  <cols>
    <col min="1" max="1" width="11" customWidth="1"/>
    <col min="2" max="2" width="22.5703125" customWidth="1"/>
    <col min="3" max="3" width="40.7109375" customWidth="1"/>
    <col min="4" max="6" width="11.7109375" customWidth="1"/>
    <col min="7" max="7" width="12.7109375" customWidth="1"/>
    <col min="9" max="9" width="15.140625" customWidth="1"/>
    <col min="10" max="10" width="20.7109375" customWidth="1"/>
    <col min="11" max="11" width="12.7109375" customWidth="1"/>
    <col min="12" max="12" width="14.28515625" hidden="1" customWidth="1"/>
    <col min="13" max="16" width="15.28515625" style="2" hidden="1" customWidth="1"/>
    <col min="17" max="17" width="15.28515625" style="3" hidden="1" customWidth="1"/>
    <col min="18" max="18" width="19.7109375" hidden="1" customWidth="1"/>
    <col min="19" max="19" width="19.7109375" style="2" hidden="1" customWidth="1"/>
    <col min="20" max="25" width="19.7109375" hidden="1" customWidth="1"/>
    <col min="26" max="26" width="14.85546875" hidden="1" customWidth="1"/>
    <col min="27" max="27" width="14.7109375" hidden="1" customWidth="1"/>
    <col min="28" max="35" width="9.140625" hidden="1" customWidth="1"/>
    <col min="36" max="37" width="9.140625" customWidth="1"/>
    <col min="38" max="41" width="9.140625" hidden="1" customWidth="1"/>
    <col min="42" max="42" width="149.140625" hidden="1" customWidth="1"/>
    <col min="43" max="43" width="113.140625" hidden="1" customWidth="1"/>
    <col min="44" max="47" width="9.140625" customWidth="1"/>
  </cols>
  <sheetData>
    <row r="1" spans="1:42" x14ac:dyDescent="0.2">
      <c r="A1" s="1" t="str">
        <f>CONCATENATE([1]Source!B1, "     СН-2012 (© ОАО МЦЦС 'Мосстройцены', ", "2025", ")")</f>
        <v>Smeta.RU Flash  (495) 974-1589     СН-2012 (© ОАО МЦЦС 'Мосстройцены', 2025)</v>
      </c>
    </row>
    <row r="2" spans="1:42" ht="14.25" x14ac:dyDescent="0.2">
      <c r="A2" s="4"/>
      <c r="B2" s="4"/>
      <c r="C2" s="4"/>
      <c r="D2" s="4"/>
      <c r="E2" s="4"/>
      <c r="F2" s="4"/>
      <c r="G2" s="4"/>
      <c r="H2" s="4"/>
      <c r="I2" s="4"/>
      <c r="J2" s="5" t="s">
        <v>0</v>
      </c>
      <c r="K2" s="5"/>
    </row>
    <row r="3" spans="1:42" ht="16.5" x14ac:dyDescent="0.25">
      <c r="A3" s="6"/>
      <c r="B3" s="7" t="s">
        <v>1</v>
      </c>
      <c r="C3" s="7"/>
      <c r="D3" s="7"/>
      <c r="E3" s="7"/>
      <c r="F3" s="8"/>
      <c r="G3" s="7" t="s">
        <v>2</v>
      </c>
      <c r="H3" s="7"/>
      <c r="I3" s="7"/>
      <c r="J3" s="7"/>
      <c r="K3" s="7"/>
    </row>
    <row r="4" spans="1:42" ht="14.25" x14ac:dyDescent="0.2">
      <c r="A4" s="8"/>
      <c r="B4" s="9"/>
      <c r="C4" s="9"/>
      <c r="D4" s="9"/>
      <c r="E4" s="9"/>
      <c r="F4" s="8"/>
      <c r="G4" s="9"/>
      <c r="H4" s="9"/>
      <c r="I4" s="9"/>
      <c r="J4" s="9"/>
      <c r="K4" s="9"/>
    </row>
    <row r="5" spans="1:42" ht="14.25" x14ac:dyDescent="0.2">
      <c r="A5" s="8"/>
      <c r="B5" s="8"/>
      <c r="C5" s="10"/>
      <c r="D5" s="10"/>
      <c r="E5" s="10"/>
      <c r="F5" s="8"/>
      <c r="G5" s="10"/>
      <c r="H5" s="10"/>
      <c r="I5" s="10"/>
      <c r="J5" s="10"/>
      <c r="K5" s="10"/>
    </row>
    <row r="6" spans="1:42" ht="14.25" x14ac:dyDescent="0.2">
      <c r="A6" s="10"/>
      <c r="B6" s="9" t="str">
        <f>CONCATENATE("______________________ ", IF([1]Source!AL12&lt;&gt;"", [1]Source!AL12, ""))</f>
        <v xml:space="preserve">______________________ </v>
      </c>
      <c r="C6" s="9"/>
      <c r="D6" s="9"/>
      <c r="E6" s="9"/>
      <c r="F6" s="8"/>
      <c r="G6" s="9" t="str">
        <f>CONCATENATE("______________________ ", IF([1]Source!AH12&lt;&gt;"", [1]Source!AH12, ""))</f>
        <v xml:space="preserve">______________________ </v>
      </c>
      <c r="H6" s="9"/>
      <c r="I6" s="9"/>
      <c r="J6" s="9"/>
      <c r="K6" s="9"/>
    </row>
    <row r="7" spans="1:42" ht="14.25" x14ac:dyDescent="0.2">
      <c r="A7" s="11"/>
      <c r="B7" s="12" t="s">
        <v>3</v>
      </c>
      <c r="C7" s="12"/>
      <c r="D7" s="12"/>
      <c r="E7" s="12"/>
      <c r="F7" s="8"/>
      <c r="G7" s="12" t="s">
        <v>3</v>
      </c>
      <c r="H7" s="12"/>
      <c r="I7" s="12"/>
      <c r="J7" s="12"/>
      <c r="K7" s="12"/>
    </row>
    <row r="9" spans="1:42" ht="14.25" x14ac:dyDescent="0.2">
      <c r="A9" s="8"/>
      <c r="B9" s="8"/>
      <c r="C9" s="8"/>
      <c r="D9" s="8"/>
      <c r="E9" s="8"/>
      <c r="F9" s="8"/>
      <c r="G9" s="8"/>
      <c r="H9" s="8"/>
      <c r="I9" s="8"/>
      <c r="J9" s="8"/>
      <c r="K9" s="8"/>
    </row>
    <row r="10" spans="1:42" ht="15.75" x14ac:dyDescent="0.25">
      <c r="A10" s="13" t="s">
        <v>4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42" x14ac:dyDescent="0.2">
      <c r="A11" s="15" t="s">
        <v>5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pans="1:42" ht="14.25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2" ht="18" hidden="1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M13"/>
      <c r="N13"/>
      <c r="O13"/>
      <c r="P13"/>
      <c r="Q13"/>
    </row>
    <row r="14" spans="1:42" ht="14.25" hidden="1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M14"/>
      <c r="N14"/>
      <c r="O14"/>
      <c r="P14"/>
      <c r="Q14"/>
    </row>
    <row r="15" spans="1:42" ht="18" x14ac:dyDescent="0.25">
      <c r="A15" s="17" t="str">
        <f>IF([1]Source!G12&lt;&gt;"Новый объект", [1]Source!G12, "")</f>
        <v>Оказание услуг по зимней и летней уборке территории( объединен. с доп. согл.) ( 25.03.2025г.)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AP15" s="18" t="str">
        <f>IF([1]Source!G12&lt;&gt;"Новый объект", [1]Source!G12, "")</f>
        <v>Оказание услуг по зимней и летней уборке территории( объединен. с доп. согл.) ( 25.03.2025г.)</v>
      </c>
    </row>
    <row r="16" spans="1:42" x14ac:dyDescent="0.2">
      <c r="A16" s="15" t="s">
        <v>6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</row>
    <row r="17" spans="1:25" ht="14.25" x14ac:dyDescent="0.2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25" ht="14.25" x14ac:dyDescent="0.2">
      <c r="A18" s="12" t="str">
        <f>CONCATENATE( "Основание: чертежи № ", [1]Source!J12)</f>
        <v xml:space="preserve">Основание: чертежи № 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25" ht="14.25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1:25" ht="14.25" x14ac:dyDescent="0.2">
      <c r="A20" s="8"/>
      <c r="B20" s="8"/>
      <c r="C20" s="8"/>
      <c r="D20" s="8"/>
      <c r="E20" s="8"/>
      <c r="F20" s="9" t="s">
        <v>7</v>
      </c>
      <c r="G20" s="9"/>
      <c r="H20" s="9"/>
      <c r="I20" s="20">
        <v>422514.18</v>
      </c>
      <c r="J20" s="5"/>
      <c r="K20" s="8" t="s">
        <v>8</v>
      </c>
    </row>
    <row r="21" spans="1:25" ht="14.25" hidden="1" x14ac:dyDescent="0.2">
      <c r="A21" s="8"/>
      <c r="B21" s="8"/>
      <c r="C21" s="8"/>
      <c r="D21" s="8"/>
      <c r="E21" s="8"/>
      <c r="F21" s="9" t="s">
        <v>9</v>
      </c>
      <c r="G21" s="9"/>
      <c r="H21" s="9"/>
      <c r="I21" s="20">
        <f>ROUND(([1]Source!F6347)/1000, 2)</f>
        <v>0</v>
      </c>
      <c r="J21" s="5"/>
      <c r="K21" s="8" t="s">
        <v>8</v>
      </c>
      <c r="M21"/>
      <c r="N21"/>
      <c r="O21"/>
      <c r="P21"/>
      <c r="Q21"/>
    </row>
    <row r="22" spans="1:25" ht="14.25" hidden="1" x14ac:dyDescent="0.2">
      <c r="A22" s="8"/>
      <c r="B22" s="8"/>
      <c r="C22" s="8"/>
      <c r="D22" s="8"/>
      <c r="E22" s="8"/>
      <c r="F22" s="9" t="s">
        <v>10</v>
      </c>
      <c r="G22" s="9"/>
      <c r="H22" s="9"/>
      <c r="I22" s="20">
        <f>ROUND(([1]Source!F6348)/1000, 2)</f>
        <v>0</v>
      </c>
      <c r="J22" s="5"/>
      <c r="K22" s="8" t="s">
        <v>8</v>
      </c>
      <c r="M22"/>
      <c r="N22"/>
      <c r="O22"/>
      <c r="P22"/>
      <c r="Q22"/>
    </row>
    <row r="23" spans="1:25" ht="14.25" hidden="1" x14ac:dyDescent="0.2">
      <c r="A23" s="8"/>
      <c r="B23" s="8"/>
      <c r="C23" s="8"/>
      <c r="D23" s="8"/>
      <c r="E23" s="8"/>
      <c r="F23" s="9" t="s">
        <v>11</v>
      </c>
      <c r="G23" s="9"/>
      <c r="H23" s="9"/>
      <c r="I23" s="20">
        <f>ROUND(([1]Source!F6339)/1000, 2)</f>
        <v>0</v>
      </c>
      <c r="J23" s="5"/>
      <c r="K23" s="8" t="s">
        <v>8</v>
      </c>
      <c r="M23"/>
      <c r="N23"/>
      <c r="O23"/>
      <c r="P23"/>
      <c r="Q23"/>
    </row>
    <row r="24" spans="1:25" ht="14.25" hidden="1" x14ac:dyDescent="0.2">
      <c r="A24" s="8"/>
      <c r="B24" s="8"/>
      <c r="C24" s="8"/>
      <c r="D24" s="8"/>
      <c r="E24" s="8"/>
      <c r="F24" s="9" t="s">
        <v>12</v>
      </c>
      <c r="G24" s="9"/>
      <c r="H24" s="9"/>
      <c r="I24" s="20">
        <f>ROUND(([1]Source!F6349+[1]Source!F6350)/1000, 2)</f>
        <v>352095.15</v>
      </c>
      <c r="J24" s="5"/>
      <c r="K24" s="8" t="s">
        <v>8</v>
      </c>
      <c r="M24"/>
      <c r="N24"/>
      <c r="O24"/>
      <c r="P24"/>
      <c r="Q24"/>
    </row>
    <row r="25" spans="1:25" ht="14.25" x14ac:dyDescent="0.2">
      <c r="A25" s="8"/>
      <c r="B25" s="8"/>
      <c r="C25" s="8"/>
      <c r="D25" s="8"/>
      <c r="E25" s="8"/>
      <c r="F25" s="9" t="s">
        <v>13</v>
      </c>
      <c r="G25" s="9"/>
      <c r="H25" s="9"/>
      <c r="I25" s="20">
        <f>([1]Source!F6345+ [1]Source!F6344)/1000</f>
        <v>184733.03924000001</v>
      </c>
      <c r="J25" s="5"/>
      <c r="K25" s="8" t="s">
        <v>8</v>
      </c>
    </row>
    <row r="26" spans="1:25" ht="14.25" x14ac:dyDescent="0.2">
      <c r="A26" s="8" t="s">
        <v>14</v>
      </c>
      <c r="B26" s="8"/>
      <c r="C26" s="8"/>
      <c r="D26" s="21"/>
      <c r="E26" s="22"/>
      <c r="F26" s="8"/>
      <c r="G26" s="8"/>
      <c r="H26" s="8"/>
      <c r="I26" s="8"/>
      <c r="J26" s="8"/>
      <c r="K26" s="8"/>
    </row>
    <row r="27" spans="1:25" ht="14.25" x14ac:dyDescent="0.2">
      <c r="A27" s="23" t="s">
        <v>15</v>
      </c>
      <c r="B27" s="23" t="s">
        <v>16</v>
      </c>
      <c r="C27" s="23" t="s">
        <v>17</v>
      </c>
      <c r="D27" s="23" t="s">
        <v>18</v>
      </c>
      <c r="E27" s="23" t="s">
        <v>19</v>
      </c>
      <c r="F27" s="23" t="s">
        <v>20</v>
      </c>
      <c r="G27" s="23" t="s">
        <v>21</v>
      </c>
      <c r="H27" s="23" t="s">
        <v>22</v>
      </c>
      <c r="I27" s="23" t="s">
        <v>23</v>
      </c>
      <c r="J27" s="23" t="s">
        <v>24</v>
      </c>
      <c r="K27" s="24" t="s">
        <v>25</v>
      </c>
    </row>
    <row r="28" spans="1:25" ht="28.5" x14ac:dyDescent="0.2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6" t="s">
        <v>26</v>
      </c>
    </row>
    <row r="29" spans="1:25" ht="28.5" x14ac:dyDescent="0.2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6" t="s">
        <v>27</v>
      </c>
      <c r="M29" s="27" t="s">
        <v>28</v>
      </c>
      <c r="N29" s="27">
        <v>0.2</v>
      </c>
      <c r="O29" s="27" t="s">
        <v>29</v>
      </c>
      <c r="P29" s="27" t="s">
        <v>30</v>
      </c>
      <c r="Q29" s="28" t="s">
        <v>31</v>
      </c>
      <c r="R29" s="27" t="s">
        <v>32</v>
      </c>
      <c r="S29" s="27"/>
      <c r="T29" s="27"/>
      <c r="U29" s="27"/>
      <c r="V29" s="27"/>
      <c r="W29" s="27"/>
      <c r="X29" s="27"/>
      <c r="Y29" s="27"/>
    </row>
    <row r="30" spans="1:25" ht="14.25" x14ac:dyDescent="0.2">
      <c r="A30" s="26">
        <v>1</v>
      </c>
      <c r="B30" s="26">
        <v>2</v>
      </c>
      <c r="C30" s="26">
        <v>3</v>
      </c>
      <c r="D30" s="26">
        <v>4</v>
      </c>
      <c r="E30" s="26">
        <v>5</v>
      </c>
      <c r="F30" s="26">
        <v>6</v>
      </c>
      <c r="G30" s="26">
        <v>7</v>
      </c>
      <c r="H30" s="26">
        <v>8</v>
      </c>
      <c r="I30" s="26">
        <v>9</v>
      </c>
      <c r="J30" s="26">
        <v>10</v>
      </c>
      <c r="K30" s="26">
        <v>11</v>
      </c>
    </row>
    <row r="31" spans="1:25" x14ac:dyDescent="0.2">
      <c r="M31"/>
      <c r="N31"/>
      <c r="O31"/>
      <c r="P31"/>
      <c r="Q31"/>
    </row>
    <row r="32" spans="1:25" ht="16.5" x14ac:dyDescent="0.25">
      <c r="A32" s="29" t="str">
        <f>CONCATENATE("Локальная смета: ",IF([1]Source!G20&lt;&gt;"Новая локальная смета", [1]Source!G20, ""))</f>
        <v>Локальная смета: Зимняя уборка территории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M32"/>
      <c r="N32"/>
      <c r="O32"/>
      <c r="P32"/>
      <c r="Q32"/>
    </row>
    <row r="33" spans="1:42" x14ac:dyDescent="0.2">
      <c r="M33"/>
      <c r="N33"/>
      <c r="O33"/>
      <c r="P33"/>
      <c r="Q33"/>
    </row>
    <row r="34" spans="1:42" ht="16.5" x14ac:dyDescent="0.25">
      <c r="A34" s="29" t="str">
        <f>CONCATENATE("Раздел: ",IF([1]Source!G24&lt;&gt;"Новый раздел", [1]Source!G24, ""))</f>
        <v>Раздел: Содержание садово-парковых дорожек с мощением, рассчитанным на нагрузку 16т/ось ( S=7142,0 м2 ).</v>
      </c>
      <c r="B34" s="29"/>
      <c r="C34" s="29"/>
      <c r="D34" s="29"/>
      <c r="E34" s="29"/>
      <c r="F34" s="29"/>
      <c r="G34" s="29"/>
      <c r="H34" s="29"/>
      <c r="I34" s="29"/>
      <c r="J34" s="29"/>
      <c r="K34" s="29"/>
      <c r="M34"/>
      <c r="N34"/>
      <c r="O34"/>
      <c r="P34"/>
      <c r="Q34"/>
      <c r="AP34" s="30" t="str">
        <f>CONCATENATE("Раздел: ",IF([1]Source!G24&lt;&gt;"Новый раздел", [1]Source!G24, ""))</f>
        <v>Раздел: Содержание садово-парковых дорожек с мощением, рассчитанным на нагрузку 16т/ось ( S=7142,0 м2 ).</v>
      </c>
    </row>
    <row r="35" spans="1:42" ht="42.75" x14ac:dyDescent="0.2">
      <c r="A35" s="31">
        <v>1</v>
      </c>
      <c r="B35" s="31" t="str">
        <f>[1]Source!F28</f>
        <v>калькуляция</v>
      </c>
      <c r="C35" s="31" t="str">
        <f>[1]Source!G28</f>
        <v>Подметание дорожек  механизированным способом ( S=7142 м2 *0,7=4999,4 м2)</v>
      </c>
      <c r="D35" s="32" t="str">
        <f>[1]Source!H28</f>
        <v>м2</v>
      </c>
      <c r="E35" s="4">
        <f>[1]Source!I28</f>
        <v>4999.3999999999996</v>
      </c>
      <c r="F35" s="33"/>
      <c r="G35" s="34"/>
      <c r="H35" s="4"/>
      <c r="I35" s="4"/>
      <c r="J35" s="33"/>
      <c r="K35" s="33"/>
      <c r="M35"/>
      <c r="N35"/>
      <c r="O35"/>
      <c r="P35"/>
      <c r="Q35"/>
      <c r="AB35">
        <f>ROUND(([1]Source!BZ28/100)*ROUND(([1]Source!AF28*[1]Source!AV28)*[1]Source!I28, 2), 2)</f>
        <v>0</v>
      </c>
      <c r="AC35">
        <f>[1]Source!X28</f>
        <v>0</v>
      </c>
      <c r="AD35">
        <f>ROUND(([1]Source!CA28/100)*ROUND(([1]Source!AF28*[1]Source!AV28)*[1]Source!I28, 2), 2)</f>
        <v>0</v>
      </c>
      <c r="AE35">
        <f>[1]Source!Y28</f>
        <v>0</v>
      </c>
      <c r="AF35">
        <f>ROUND((175/100)*ROUND(([1]Source!AE28*[1]Source!AV28)*[1]Source!I28, 2), 2)</f>
        <v>0</v>
      </c>
      <c r="AG35">
        <f>ROUND((108/100)*ROUND([1]Source!CS28*[1]Source!I28, 2), 2)</f>
        <v>0</v>
      </c>
    </row>
    <row r="36" spans="1:42" ht="14.25" x14ac:dyDescent="0.2">
      <c r="A36" s="31"/>
      <c r="B36" s="31"/>
      <c r="C36" s="31" t="s">
        <v>33</v>
      </c>
      <c r="D36" s="32"/>
      <c r="E36" s="4"/>
      <c r="F36" s="33">
        <f>[1]Source!AM28</f>
        <v>0.65</v>
      </c>
      <c r="G36" s="34" t="str">
        <f>[1]Source!DE28</f>
        <v>*4*164</v>
      </c>
      <c r="H36" s="4">
        <f>[1]Source!AV28</f>
        <v>1</v>
      </c>
      <c r="I36" s="4">
        <f>IF([1]Source!BB28&lt;&gt; 0, [1]Source!BB28, 1)</f>
        <v>1</v>
      </c>
      <c r="J36" s="33">
        <f>[1]Source!Q28</f>
        <v>2131744.16</v>
      </c>
      <c r="K36" s="33"/>
      <c r="M36"/>
      <c r="N36"/>
      <c r="O36"/>
      <c r="P36"/>
      <c r="Q36"/>
    </row>
    <row r="37" spans="1:42" ht="15" x14ac:dyDescent="0.25">
      <c r="A37" s="35"/>
      <c r="B37" s="35"/>
      <c r="C37" s="35"/>
      <c r="D37" s="35"/>
      <c r="E37" s="35"/>
      <c r="F37" s="35"/>
      <c r="G37" s="35"/>
      <c r="H37" s="35"/>
      <c r="I37" s="36">
        <f>J36</f>
        <v>2131744.16</v>
      </c>
      <c r="J37" s="36"/>
      <c r="K37" s="37">
        <f>IF([1]Source!I28&lt;&gt;0, ROUND(I37/[1]Source!I28, 2), 0)</f>
        <v>426.4</v>
      </c>
      <c r="M37"/>
      <c r="N37"/>
      <c r="O37"/>
      <c r="P37"/>
      <c r="Q37"/>
      <c r="AA37" s="38">
        <f>I37</f>
        <v>2131744.16</v>
      </c>
    </row>
    <row r="38" spans="1:42" ht="28.5" x14ac:dyDescent="0.2">
      <c r="A38" s="31">
        <v>2</v>
      </c>
      <c r="B38" s="31" t="str">
        <f>[1]Source!F29</f>
        <v>калькуляция</v>
      </c>
      <c r="C38" s="31" t="str">
        <f>[1]Source!G29</f>
        <v>Подметание дорожек  вручную ( S=7142 м2*0,3=2142,6 м2)</v>
      </c>
      <c r="D38" s="32" t="str">
        <f>[1]Source!H29</f>
        <v>м2</v>
      </c>
      <c r="E38" s="4">
        <f>[1]Source!I29</f>
        <v>2142.6</v>
      </c>
      <c r="F38" s="33"/>
      <c r="G38" s="34"/>
      <c r="H38" s="4"/>
      <c r="I38" s="4"/>
      <c r="J38" s="33"/>
      <c r="K38" s="33"/>
      <c r="M38"/>
      <c r="N38"/>
      <c r="O38"/>
      <c r="P38"/>
      <c r="Q38"/>
      <c r="AB38">
        <f>ROUND(([1]Source!BZ29/100)*ROUND(([1]Source!AF29*[1]Source!AV29)*[1]Source!I29, 2), 2)</f>
        <v>0</v>
      </c>
      <c r="AC38">
        <f>[1]Source!X29</f>
        <v>0</v>
      </c>
      <c r="AD38">
        <f>ROUND(([1]Source!CA29/100)*ROUND(([1]Source!AF29*[1]Source!AV29)*[1]Source!I29, 2), 2)</f>
        <v>0</v>
      </c>
      <c r="AE38">
        <f>[1]Source!Y29</f>
        <v>0</v>
      </c>
      <c r="AF38">
        <f>ROUND((175/100)*ROUND(([1]Source!AE29*[1]Source!AV29)*[1]Source!I29, 2), 2)</f>
        <v>0</v>
      </c>
      <c r="AG38">
        <f>ROUND((108/100)*ROUND([1]Source!CS29*[1]Source!I29, 2), 2)</f>
        <v>0</v>
      </c>
    </row>
    <row r="39" spans="1:42" ht="14.25" x14ac:dyDescent="0.2">
      <c r="A39" s="31"/>
      <c r="B39" s="31"/>
      <c r="C39" s="31" t="s">
        <v>34</v>
      </c>
      <c r="D39" s="32"/>
      <c r="E39" s="4"/>
      <c r="F39" s="33">
        <f>[1]Source!AO29</f>
        <v>1.32</v>
      </c>
      <c r="G39" s="34" t="str">
        <f>[1]Source!DG29</f>
        <v>*4*164</v>
      </c>
      <c r="H39" s="4">
        <f>[1]Source!AV29</f>
        <v>1</v>
      </c>
      <c r="I39" s="4">
        <f>IF([1]Source!BA29&lt;&gt; 0, [1]Source!BA29, 1)</f>
        <v>1</v>
      </c>
      <c r="J39" s="33">
        <f>[1]Source!S29</f>
        <v>1855320.19</v>
      </c>
      <c r="K39" s="33"/>
      <c r="M39"/>
      <c r="N39"/>
      <c r="O39"/>
      <c r="P39"/>
      <c r="Q39"/>
    </row>
    <row r="40" spans="1:42" ht="15" x14ac:dyDescent="0.25">
      <c r="A40" s="35"/>
      <c r="B40" s="35"/>
      <c r="C40" s="35"/>
      <c r="D40" s="35"/>
      <c r="E40" s="35"/>
      <c r="F40" s="35"/>
      <c r="G40" s="35"/>
      <c r="H40" s="35"/>
      <c r="I40" s="36">
        <f>J39</f>
        <v>1855320.19</v>
      </c>
      <c r="J40" s="36"/>
      <c r="K40" s="37">
        <f>IF([1]Source!I29&lt;&gt;0, ROUND(I40/[1]Source!I29, 2), 0)</f>
        <v>865.92</v>
      </c>
      <c r="M40"/>
      <c r="N40"/>
      <c r="O40"/>
      <c r="P40"/>
      <c r="Q40"/>
      <c r="AA40" s="38">
        <f>I40</f>
        <v>1855320.19</v>
      </c>
    </row>
    <row r="41" spans="1:42" ht="28.5" x14ac:dyDescent="0.2">
      <c r="A41" s="59">
        <v>3</v>
      </c>
      <c r="B41" s="59" t="str">
        <f>[1]Source!F30</f>
        <v>калькуляция</v>
      </c>
      <c r="C41" s="59" t="str">
        <f>[1]Source!G30</f>
        <v>Мытье дорожек  механизированным способом( 30% от7142 м2)</v>
      </c>
      <c r="D41" s="60" t="str">
        <f>[1]Source!H30</f>
        <v>м2</v>
      </c>
      <c r="E41" s="61">
        <f>[1]Source!I30</f>
        <v>2142.6</v>
      </c>
      <c r="F41" s="62"/>
      <c r="G41" s="63"/>
      <c r="H41" s="61"/>
      <c r="I41" s="61"/>
      <c r="J41" s="62"/>
      <c r="K41" s="62"/>
      <c r="M41"/>
      <c r="N41"/>
      <c r="O41"/>
      <c r="P41"/>
      <c r="Q41"/>
      <c r="AB41">
        <f>ROUND(([1]Source!BZ30/100)*ROUND(([1]Source!AF30*[1]Source!AV30)*[1]Source!I30, 2), 2)</f>
        <v>0</v>
      </c>
      <c r="AC41">
        <f>[1]Source!X30</f>
        <v>0</v>
      </c>
      <c r="AD41">
        <f>ROUND(([1]Source!CA30/100)*ROUND(([1]Source!AF30*[1]Source!AV30)*[1]Source!I30, 2), 2)</f>
        <v>0</v>
      </c>
      <c r="AE41">
        <f>[1]Source!Y30</f>
        <v>0</v>
      </c>
      <c r="AF41">
        <f>ROUND((175/100)*ROUND(([1]Source!AE30*[1]Source!AV30)*[1]Source!I30, 2), 2)</f>
        <v>0</v>
      </c>
      <c r="AG41">
        <f>ROUND((108/100)*ROUND([1]Source!CS30*[1]Source!I30, 2), 2)</f>
        <v>0</v>
      </c>
    </row>
    <row r="42" spans="1:42" ht="14.25" x14ac:dyDescent="0.2">
      <c r="A42" s="59"/>
      <c r="B42" s="59"/>
      <c r="C42" s="59" t="s">
        <v>33</v>
      </c>
      <c r="D42" s="60"/>
      <c r="E42" s="61"/>
      <c r="F42" s="62">
        <f>[1]Source!AM30</f>
        <v>3.28</v>
      </c>
      <c r="G42" s="63" t="str">
        <f>[1]Source!DE30</f>
        <v>)*1*164</v>
      </c>
      <c r="H42" s="61">
        <f>[1]Source!AV30</f>
        <v>1</v>
      </c>
      <c r="I42" s="61">
        <f>IF([1]Source!BB30&lt;&gt; 0, [1]Source!BB30, 1)</f>
        <v>1</v>
      </c>
      <c r="J42" s="62">
        <f>[1]Source!Q30</f>
        <v>1152547.3899999999</v>
      </c>
      <c r="K42" s="62"/>
      <c r="M42"/>
      <c r="N42"/>
      <c r="O42"/>
      <c r="P42"/>
      <c r="Q42"/>
    </row>
    <row r="43" spans="1:42" ht="57" x14ac:dyDescent="0.2">
      <c r="A43" s="59" t="s">
        <v>35</v>
      </c>
      <c r="B43" s="59" t="str">
        <f>[1]Source!F31</f>
        <v>цена поставщика</v>
      </c>
      <c r="C43" s="59" t="str">
        <f>[1]Source!G31</f>
        <v>Средство для механизированной мойки дорожных покрытий в зимнее время -ПГМ Жидкий хлористый кальций</v>
      </c>
      <c r="D43" s="60" t="str">
        <f>[1]Source!H31</f>
        <v>л</v>
      </c>
      <c r="E43" s="61">
        <f>[1]Source!I31</f>
        <v>105.41592</v>
      </c>
      <c r="F43" s="62">
        <f>[1]Source!AK31</f>
        <v>11.77</v>
      </c>
      <c r="G43" s="64" t="s">
        <v>36</v>
      </c>
      <c r="H43" s="61">
        <f>[1]Source!AW31</f>
        <v>1</v>
      </c>
      <c r="I43" s="61">
        <f>IF([1]Source!BC31&lt;&gt; 0, [1]Source!BC31, 1)</f>
        <v>1</v>
      </c>
      <c r="J43" s="62">
        <f>[1]Source!O31</f>
        <v>1240.75</v>
      </c>
      <c r="K43" s="62"/>
      <c r="M43"/>
      <c r="N43"/>
      <c r="O43"/>
      <c r="P43"/>
      <c r="Q43"/>
      <c r="AB43">
        <f>ROUND(([1]Source!BZ31/100)*ROUND(([1]Source!AF31*[1]Source!AV31)*[1]Source!I31, 2), 2)</f>
        <v>0</v>
      </c>
      <c r="AC43">
        <f>[1]Source!X31</f>
        <v>0</v>
      </c>
      <c r="AD43">
        <f>ROUND(([1]Source!CA31/100)*ROUND(([1]Source!AF31*[1]Source!AV31)*[1]Source!I31, 2), 2)</f>
        <v>0</v>
      </c>
      <c r="AE43">
        <f>[1]Source!Y31</f>
        <v>0</v>
      </c>
      <c r="AF43">
        <f>ROUND((175/100)*ROUND(([1]Source!AE31*[1]Source!AV31)*[1]Source!I31, 2), 2)</f>
        <v>0</v>
      </c>
      <c r="AG43">
        <f>ROUND((108/100)*ROUND([1]Source!CS31*[1]Source!I31, 2), 2)</f>
        <v>0</v>
      </c>
    </row>
    <row r="44" spans="1:42" ht="15" x14ac:dyDescent="0.25">
      <c r="A44" s="65"/>
      <c r="B44" s="65"/>
      <c r="C44" s="65"/>
      <c r="D44" s="65"/>
      <c r="E44" s="65"/>
      <c r="F44" s="65"/>
      <c r="G44" s="65"/>
      <c r="H44" s="65"/>
      <c r="I44" s="66">
        <f>J42+SUM(J43:J43)</f>
        <v>1153788.1399999999</v>
      </c>
      <c r="J44" s="66"/>
      <c r="K44" s="67">
        <f>IF([1]Source!I30&lt;&gt;0, ROUND(I44/[1]Source!I30, 2), 0)</f>
        <v>538.5</v>
      </c>
      <c r="M44"/>
      <c r="N44"/>
      <c r="O44"/>
      <c r="P44"/>
      <c r="Q44"/>
      <c r="AA44" s="38">
        <f>I44</f>
        <v>1153788.1399999999</v>
      </c>
    </row>
    <row r="45" spans="1:42" ht="42.75" x14ac:dyDescent="0.2">
      <c r="A45" s="31">
        <v>4</v>
      </c>
      <c r="B45" s="31" t="str">
        <f>[1]Source!F32</f>
        <v>5.3-1102-12-1/1</v>
      </c>
      <c r="C45" s="31" t="str">
        <f>[1]Source!G32</f>
        <v>Уборка снега средствами малой механизации( 70% от 7142 м2 , S=7142 м2*0,7=4999,4 м2 )</v>
      </c>
      <c r="D45" s="32" t="str">
        <f>[1]Source!H32</f>
        <v>1000 м2</v>
      </c>
      <c r="E45" s="4">
        <f>[1]Source!I32</f>
        <v>4.9993999999999996</v>
      </c>
      <c r="F45" s="33"/>
      <c r="G45" s="34"/>
      <c r="H45" s="4"/>
      <c r="I45" s="4"/>
      <c r="J45" s="33"/>
      <c r="K45" s="33"/>
      <c r="M45"/>
      <c r="N45"/>
      <c r="O45"/>
      <c r="P45"/>
      <c r="Q45"/>
      <c r="AB45">
        <f>ROUND(([1]Source!BZ32/100)*ROUND(([1]Source!AF32*[1]Source!AV32)*[1]Source!I32, 2), 2)</f>
        <v>0</v>
      </c>
      <c r="AC45">
        <f>[1]Source!X32</f>
        <v>0</v>
      </c>
      <c r="AD45">
        <f>ROUND(([1]Source!CA32/100)*ROUND(([1]Source!AF32*[1]Source!AV32)*[1]Source!I32, 2), 2)</f>
        <v>0</v>
      </c>
      <c r="AE45">
        <f>[1]Source!Y32</f>
        <v>0</v>
      </c>
      <c r="AF45">
        <f>ROUND((175/100)*ROUND(([1]Source!AE32*[1]Source!AV32)*[1]Source!I32, 2), 2)</f>
        <v>1387395.89</v>
      </c>
      <c r="AG45">
        <f>ROUND((108/100)*ROUND([1]Source!CS32*[1]Source!I32, 2), 2)</f>
        <v>856221.46</v>
      </c>
    </row>
    <row r="46" spans="1:42" x14ac:dyDescent="0.2">
      <c r="C46" s="40" t="str">
        <f>"Объем: "&amp;[1]Source!I32&amp;"=4999,4/"&amp;"1000"</f>
        <v>Объем: 4,9994=4999,4/1000</v>
      </c>
      <c r="M46"/>
      <c r="N46"/>
      <c r="O46"/>
      <c r="P46"/>
      <c r="Q46"/>
    </row>
    <row r="47" spans="1:42" ht="14.25" x14ac:dyDescent="0.2">
      <c r="A47" s="31"/>
      <c r="B47" s="31"/>
      <c r="C47" s="31" t="s">
        <v>33</v>
      </c>
      <c r="D47" s="32"/>
      <c r="E47" s="4"/>
      <c r="F47" s="33">
        <f>[1]Source!AM32</f>
        <v>708.24</v>
      </c>
      <c r="G47" s="34" t="str">
        <f>[1]Source!DE32</f>
        <v>)*4*168</v>
      </c>
      <c r="H47" s="4">
        <f>[1]Source!AV32</f>
        <v>1</v>
      </c>
      <c r="I47" s="4">
        <f>IF([1]Source!BB32&lt;&gt; 0, [1]Source!BB32, 1)</f>
        <v>1</v>
      </c>
      <c r="J47" s="33">
        <f>[1]Source!Q32</f>
        <v>2379400.84</v>
      </c>
      <c r="K47" s="33"/>
      <c r="M47"/>
      <c r="N47"/>
      <c r="O47"/>
      <c r="P47"/>
      <c r="Q47"/>
    </row>
    <row r="48" spans="1:42" ht="14.25" x14ac:dyDescent="0.2">
      <c r="A48" s="31"/>
      <c r="B48" s="31"/>
      <c r="C48" s="31" t="s">
        <v>37</v>
      </c>
      <c r="D48" s="32"/>
      <c r="E48" s="4"/>
      <c r="F48" s="33">
        <f>[1]Source!AN32</f>
        <v>235.98</v>
      </c>
      <c r="G48" s="34" t="str">
        <f>[1]Source!DF32</f>
        <v>)*4*168</v>
      </c>
      <c r="H48" s="4">
        <f>[1]Source!AV32</f>
        <v>1</v>
      </c>
      <c r="I48" s="4">
        <f>IF([1]Source!BS32&lt;&gt; 0, [1]Source!BS32, 1)</f>
        <v>1</v>
      </c>
      <c r="J48" s="41">
        <f>[1]Source!R32</f>
        <v>792797.65</v>
      </c>
      <c r="K48" s="33"/>
      <c r="M48"/>
      <c r="N48"/>
      <c r="O48"/>
      <c r="P48"/>
      <c r="Q48"/>
    </row>
    <row r="49" spans="1:33" ht="14.25" x14ac:dyDescent="0.2">
      <c r="A49" s="31"/>
      <c r="B49" s="31"/>
      <c r="C49" s="31" t="s">
        <v>38</v>
      </c>
      <c r="D49" s="32" t="s">
        <v>39</v>
      </c>
      <c r="E49" s="4">
        <f>108</f>
        <v>108</v>
      </c>
      <c r="F49" s="33"/>
      <c r="G49" s="34"/>
      <c r="H49" s="4"/>
      <c r="I49" s="4"/>
      <c r="J49" s="33">
        <f>SUM(AG45:AG48)</f>
        <v>856221.46</v>
      </c>
      <c r="K49" s="33"/>
      <c r="M49"/>
      <c r="N49"/>
      <c r="O49"/>
      <c r="P49"/>
      <c r="Q49"/>
    </row>
    <row r="50" spans="1:33" ht="15" x14ac:dyDescent="0.25">
      <c r="A50" s="35"/>
      <c r="B50" s="35"/>
      <c r="C50" s="35"/>
      <c r="D50" s="35"/>
      <c r="E50" s="35"/>
      <c r="F50" s="35"/>
      <c r="G50" s="35"/>
      <c r="H50" s="35"/>
      <c r="I50" s="36">
        <f>J47+J49</f>
        <v>3235622.3</v>
      </c>
      <c r="J50" s="36"/>
      <c r="K50" s="37">
        <f>IF([1]Source!I32&lt;&gt;0, ROUND(I50/[1]Source!I32, 2), 0)</f>
        <v>647202.12</v>
      </c>
      <c r="M50"/>
      <c r="N50"/>
      <c r="O50"/>
      <c r="P50"/>
      <c r="Q50"/>
      <c r="AA50" s="38">
        <f>I50</f>
        <v>3235622.3</v>
      </c>
    </row>
    <row r="51" spans="1:33" ht="42.75" x14ac:dyDescent="0.2">
      <c r="A51" s="31">
        <v>5</v>
      </c>
      <c r="B51" s="31" t="str">
        <f>[1]Source!F33</f>
        <v>5.3-1102-8-1/1</v>
      </c>
      <c r="C51" s="31" t="str">
        <f>[1]Source!G33</f>
        <v>Уборка свежевыпавшего снега вручную толщиной слоя до 10 см ( S= 7142 м2* 0,1*0,7*0,5 =249,97 м2)</v>
      </c>
      <c r="D51" s="32" t="str">
        <f>[1]Source!H33</f>
        <v>100 м2</v>
      </c>
      <c r="E51" s="4">
        <f>[1]Source!I33</f>
        <v>2.4996999999999998</v>
      </c>
      <c r="F51" s="33"/>
      <c r="G51" s="34"/>
      <c r="H51" s="4"/>
      <c r="I51" s="4"/>
      <c r="J51" s="33"/>
      <c r="K51" s="33"/>
      <c r="M51"/>
      <c r="N51"/>
      <c r="O51"/>
      <c r="P51"/>
      <c r="Q51"/>
      <c r="AB51">
        <f>ROUND(([1]Source!BZ33/100)*ROUND(([1]Source!AF33*[1]Source!AV33)*[1]Source!I33, 2), 2)</f>
        <v>189489.66</v>
      </c>
      <c r="AC51">
        <f>[1]Source!X33</f>
        <v>189489.66</v>
      </c>
      <c r="AD51">
        <f>ROUND(([1]Source!CA33/100)*ROUND(([1]Source!AF33*[1]Source!AV33)*[1]Source!I33, 2), 2)</f>
        <v>27069.95</v>
      </c>
      <c r="AE51">
        <f>[1]Source!Y33</f>
        <v>27069.95</v>
      </c>
      <c r="AF51">
        <f>ROUND((175/100)*ROUND(([1]Source!AE33*[1]Source!AV33)*[1]Source!I33, 2), 2)</f>
        <v>0</v>
      </c>
      <c r="AG51">
        <f>ROUND((108/100)*ROUND([1]Source!CS33*[1]Source!I33, 2), 2)</f>
        <v>0</v>
      </c>
    </row>
    <row r="52" spans="1:33" x14ac:dyDescent="0.2">
      <c r="C52" s="40" t="str">
        <f>"Объем: "&amp;[1]Source!I33&amp;"=249,97/"&amp;"100"</f>
        <v>Объем: 2,4997=249,97/100</v>
      </c>
      <c r="M52"/>
      <c r="N52"/>
      <c r="O52"/>
      <c r="P52"/>
      <c r="Q52"/>
    </row>
    <row r="53" spans="1:33" ht="14.25" x14ac:dyDescent="0.2">
      <c r="A53" s="31"/>
      <c r="B53" s="31"/>
      <c r="C53" s="31" t="s">
        <v>34</v>
      </c>
      <c r="D53" s="32"/>
      <c r="E53" s="4"/>
      <c r="F53" s="33">
        <f>[1]Source!AO33</f>
        <v>161.15</v>
      </c>
      <c r="G53" s="34" t="str">
        <f>[1]Source!DG33</f>
        <v>)*4*168</v>
      </c>
      <c r="H53" s="4">
        <f>[1]Source!AV33</f>
        <v>1</v>
      </c>
      <c r="I53" s="4">
        <f>IF([1]Source!BA33&lt;&gt; 0, [1]Source!BA33, 1)</f>
        <v>1</v>
      </c>
      <c r="J53" s="33">
        <f>[1]Source!S33</f>
        <v>270699.51</v>
      </c>
      <c r="K53" s="33"/>
      <c r="M53"/>
      <c r="N53"/>
      <c r="O53"/>
      <c r="P53"/>
      <c r="Q53"/>
    </row>
    <row r="54" spans="1:33" ht="14.25" x14ac:dyDescent="0.2">
      <c r="A54" s="31"/>
      <c r="B54" s="31"/>
      <c r="C54" s="31" t="s">
        <v>40</v>
      </c>
      <c r="D54" s="32" t="s">
        <v>39</v>
      </c>
      <c r="E54" s="4">
        <f>[1]Source!AT33</f>
        <v>70</v>
      </c>
      <c r="F54" s="33"/>
      <c r="G54" s="34"/>
      <c r="H54" s="4"/>
      <c r="I54" s="4"/>
      <c r="J54" s="33">
        <f>SUM(AC51:AC53)</f>
        <v>189489.66</v>
      </c>
      <c r="K54" s="33"/>
      <c r="M54"/>
      <c r="N54"/>
      <c r="O54"/>
      <c r="P54"/>
      <c r="Q54"/>
    </row>
    <row r="55" spans="1:33" ht="14.25" x14ac:dyDescent="0.2">
      <c r="A55" s="31"/>
      <c r="B55" s="31"/>
      <c r="C55" s="31" t="s">
        <v>41</v>
      </c>
      <c r="D55" s="32" t="s">
        <v>39</v>
      </c>
      <c r="E55" s="4">
        <f>[1]Source!AU33</f>
        <v>10</v>
      </c>
      <c r="F55" s="33"/>
      <c r="G55" s="34"/>
      <c r="H55" s="4"/>
      <c r="I55" s="4"/>
      <c r="J55" s="33">
        <f>SUM(AE51:AE54)</f>
        <v>27069.95</v>
      </c>
      <c r="K55" s="33"/>
      <c r="M55"/>
      <c r="N55"/>
      <c r="O55"/>
      <c r="P55"/>
      <c r="Q55"/>
    </row>
    <row r="56" spans="1:33" ht="14.25" x14ac:dyDescent="0.2">
      <c r="A56" s="31"/>
      <c r="B56" s="31"/>
      <c r="C56" s="31" t="s">
        <v>42</v>
      </c>
      <c r="D56" s="32" t="s">
        <v>43</v>
      </c>
      <c r="E56" s="4">
        <f>[1]Source!AQ33</f>
        <v>0.65</v>
      </c>
      <c r="F56" s="33"/>
      <c r="G56" s="34" t="str">
        <f>[1]Source!DI33</f>
        <v>)*4*168</v>
      </c>
      <c r="H56" s="4">
        <f>[1]Source!AV33</f>
        <v>1</v>
      </c>
      <c r="I56" s="4"/>
      <c r="J56" s="33"/>
      <c r="K56" s="33">
        <f>[1]Source!U33</f>
        <v>1091.86896</v>
      </c>
      <c r="M56"/>
      <c r="N56"/>
      <c r="O56"/>
      <c r="P56"/>
      <c r="Q56"/>
    </row>
    <row r="57" spans="1:33" ht="15" x14ac:dyDescent="0.25">
      <c r="A57" s="35"/>
      <c r="B57" s="35"/>
      <c r="C57" s="35"/>
      <c r="D57" s="35"/>
      <c r="E57" s="35"/>
      <c r="F57" s="35"/>
      <c r="G57" s="35"/>
      <c r="H57" s="35"/>
      <c r="I57" s="36">
        <f>J53+J54+J55</f>
        <v>487259.12000000005</v>
      </c>
      <c r="J57" s="36"/>
      <c r="K57" s="37">
        <f>IF([1]Source!I33&lt;&gt;0, ROUND(I57/[1]Source!I33, 2), 0)</f>
        <v>194927.04</v>
      </c>
      <c r="M57"/>
      <c r="N57"/>
      <c r="O57"/>
      <c r="P57"/>
      <c r="Q57"/>
      <c r="AA57" s="38">
        <f>I57</f>
        <v>487259.12000000005</v>
      </c>
    </row>
    <row r="58" spans="1:33" ht="28.5" x14ac:dyDescent="0.2">
      <c r="A58" s="31">
        <v>6</v>
      </c>
      <c r="B58" s="31" t="str">
        <f>[1]Source!F34</f>
        <v>5.3-1102-8-3/1</v>
      </c>
      <c r="C58" s="31" t="str">
        <f>[1]Source!G34</f>
        <v>Уборка слежавшегося снега вручную( S=7142 м2*0,1*0,7*0,5=249,97 м2)</v>
      </c>
      <c r="D58" s="32" t="str">
        <f>[1]Source!H34</f>
        <v>100 м2</v>
      </c>
      <c r="E58" s="4">
        <f>[1]Source!I34</f>
        <v>2.4996999999999998</v>
      </c>
      <c r="F58" s="33"/>
      <c r="G58" s="34"/>
      <c r="H58" s="4"/>
      <c r="I58" s="4"/>
      <c r="J58" s="33"/>
      <c r="K58" s="33"/>
      <c r="M58"/>
      <c r="N58"/>
      <c r="O58"/>
      <c r="P58"/>
      <c r="Q58"/>
      <c r="AB58">
        <f>ROUND(([1]Source!BZ34/100)*ROUND(([1]Source!AF34*[1]Source!AV34)*[1]Source!I34, 2), 2)</f>
        <v>111509.64</v>
      </c>
      <c r="AC58">
        <f>[1]Source!X34</f>
        <v>111509.64</v>
      </c>
      <c r="AD58">
        <f>ROUND(([1]Source!CA34/100)*ROUND(([1]Source!AF34*[1]Source!AV34)*[1]Source!I34, 2), 2)</f>
        <v>15929.95</v>
      </c>
      <c r="AE58">
        <f>[1]Source!Y34</f>
        <v>15929.95</v>
      </c>
      <c r="AF58">
        <f>ROUND((175/100)*ROUND(([1]Source!AE34*[1]Source!AV34)*[1]Source!I34, 2), 2)</f>
        <v>0</v>
      </c>
      <c r="AG58">
        <f>ROUND((108/100)*ROUND([1]Source!CS34*[1]Source!I34, 2), 2)</f>
        <v>0</v>
      </c>
    </row>
    <row r="59" spans="1:33" x14ac:dyDescent="0.2">
      <c r="C59" s="40" t="str">
        <f>"Объем: "&amp;[1]Source!I34&amp;"=249,97/"&amp;"100"</f>
        <v>Объем: 2,4997=249,97/100</v>
      </c>
      <c r="M59"/>
      <c r="N59"/>
      <c r="O59"/>
      <c r="P59"/>
      <c r="Q59"/>
    </row>
    <row r="60" spans="1:33" ht="14.25" x14ac:dyDescent="0.2">
      <c r="A60" s="31"/>
      <c r="B60" s="31"/>
      <c r="C60" s="31" t="s">
        <v>34</v>
      </c>
      <c r="D60" s="32"/>
      <c r="E60" s="4"/>
      <c r="F60" s="33">
        <f>[1]Source!AO34</f>
        <v>379.33</v>
      </c>
      <c r="G60" s="34" t="str">
        <f>[1]Source!DG34</f>
        <v>)*1*168</v>
      </c>
      <c r="H60" s="4">
        <f>[1]Source!AV34</f>
        <v>1</v>
      </c>
      <c r="I60" s="4">
        <f>IF([1]Source!BA34&lt;&gt; 0, [1]Source!BA34, 1)</f>
        <v>1</v>
      </c>
      <c r="J60" s="33">
        <f>[1]Source!S34</f>
        <v>159299.48000000001</v>
      </c>
      <c r="K60" s="33"/>
      <c r="M60"/>
      <c r="N60"/>
      <c r="O60"/>
      <c r="P60"/>
      <c r="Q60"/>
    </row>
    <row r="61" spans="1:33" ht="14.25" x14ac:dyDescent="0.2">
      <c r="A61" s="31"/>
      <c r="B61" s="31"/>
      <c r="C61" s="31" t="s">
        <v>40</v>
      </c>
      <c r="D61" s="32" t="s">
        <v>39</v>
      </c>
      <c r="E61" s="4">
        <f>[1]Source!AT34</f>
        <v>70</v>
      </c>
      <c r="F61" s="33"/>
      <c r="G61" s="34"/>
      <c r="H61" s="4"/>
      <c r="I61" s="4"/>
      <c r="J61" s="33">
        <f>SUM(AC58:AC60)</f>
        <v>111509.64</v>
      </c>
      <c r="K61" s="33"/>
      <c r="M61"/>
      <c r="N61"/>
      <c r="O61"/>
      <c r="P61"/>
      <c r="Q61"/>
    </row>
    <row r="62" spans="1:33" ht="14.25" x14ac:dyDescent="0.2">
      <c r="A62" s="31"/>
      <c r="B62" s="31"/>
      <c r="C62" s="31" t="s">
        <v>41</v>
      </c>
      <c r="D62" s="32" t="s">
        <v>39</v>
      </c>
      <c r="E62" s="4">
        <f>[1]Source!AU34</f>
        <v>10</v>
      </c>
      <c r="F62" s="33"/>
      <c r="G62" s="34"/>
      <c r="H62" s="4"/>
      <c r="I62" s="4"/>
      <c r="J62" s="33">
        <f>SUM(AE58:AE61)</f>
        <v>15929.95</v>
      </c>
      <c r="K62" s="33"/>
      <c r="M62"/>
      <c r="N62"/>
      <c r="O62"/>
      <c r="P62"/>
      <c r="Q62"/>
    </row>
    <row r="63" spans="1:33" ht="14.25" x14ac:dyDescent="0.2">
      <c r="A63" s="31"/>
      <c r="B63" s="31"/>
      <c r="C63" s="31" t="s">
        <v>42</v>
      </c>
      <c r="D63" s="32" t="s">
        <v>43</v>
      </c>
      <c r="E63" s="4">
        <f>[1]Source!AQ34</f>
        <v>1.53</v>
      </c>
      <c r="F63" s="33"/>
      <c r="G63" s="34" t="str">
        <f>[1]Source!DI34</f>
        <v>)*1*168</v>
      </c>
      <c r="H63" s="4">
        <f>[1]Source!AV34</f>
        <v>1</v>
      </c>
      <c r="I63" s="4"/>
      <c r="J63" s="33"/>
      <c r="K63" s="33">
        <f>[1]Source!U34</f>
        <v>642.52288799999997</v>
      </c>
      <c r="M63"/>
      <c r="N63"/>
      <c r="O63"/>
      <c r="P63"/>
      <c r="Q63"/>
    </row>
    <row r="64" spans="1:33" ht="15" x14ac:dyDescent="0.25">
      <c r="A64" s="35"/>
      <c r="B64" s="35"/>
      <c r="C64" s="35"/>
      <c r="D64" s="35"/>
      <c r="E64" s="35"/>
      <c r="F64" s="35"/>
      <c r="G64" s="35"/>
      <c r="H64" s="35"/>
      <c r="I64" s="36">
        <f>J60+J61+J62</f>
        <v>286739.07</v>
      </c>
      <c r="J64" s="36"/>
      <c r="K64" s="37">
        <f>IF([1]Source!I34&lt;&gt;0, ROUND(I64/[1]Source!I34, 2), 0)</f>
        <v>114709.39</v>
      </c>
      <c r="M64"/>
      <c r="N64"/>
      <c r="O64"/>
      <c r="P64"/>
      <c r="Q64"/>
      <c r="AA64" s="38">
        <f>I64</f>
        <v>286739.07</v>
      </c>
    </row>
    <row r="65" spans="1:33" ht="42.75" x14ac:dyDescent="0.2">
      <c r="A65" s="31">
        <v>7</v>
      </c>
      <c r="B65" s="31" t="str">
        <f>[1]Source!F35</f>
        <v>5.3-1102-8-1/1</v>
      </c>
      <c r="C65" s="31" t="str">
        <f>[1]Source!G35</f>
        <v>Уборка свежевыпавшего снега вручную толщиной слоя до 10 см ( S= 7142 м2* 0,1*0,3*0?5 =107,13 м2)</v>
      </c>
      <c r="D65" s="32" t="str">
        <f>[1]Source!H35</f>
        <v>100 м2</v>
      </c>
      <c r="E65" s="4">
        <f>[1]Source!I35</f>
        <v>1.0712999999999999</v>
      </c>
      <c r="F65" s="33"/>
      <c r="G65" s="34"/>
      <c r="H65" s="4"/>
      <c r="I65" s="4"/>
      <c r="J65" s="33"/>
      <c r="K65" s="33"/>
      <c r="M65"/>
      <c r="N65"/>
      <c r="O65"/>
      <c r="P65"/>
      <c r="Q65"/>
      <c r="AB65">
        <f>ROUND(([1]Source!BZ35/100)*ROUND(([1]Source!AF35*[1]Source!AV35)*[1]Source!I35, 2), 2)</f>
        <v>81209.86</v>
      </c>
      <c r="AC65">
        <f>[1]Source!X35</f>
        <v>81209.86</v>
      </c>
      <c r="AD65">
        <f>ROUND(([1]Source!CA35/100)*ROUND(([1]Source!AF35*[1]Source!AV35)*[1]Source!I35, 2), 2)</f>
        <v>11601.41</v>
      </c>
      <c r="AE65">
        <f>[1]Source!Y35</f>
        <v>11601.41</v>
      </c>
      <c r="AF65">
        <f>ROUND((175/100)*ROUND(([1]Source!AE35*[1]Source!AV35)*[1]Source!I35, 2), 2)</f>
        <v>0</v>
      </c>
      <c r="AG65">
        <f>ROUND((108/100)*ROUND([1]Source!CS35*[1]Source!I35, 2), 2)</f>
        <v>0</v>
      </c>
    </row>
    <row r="66" spans="1:33" x14ac:dyDescent="0.2">
      <c r="C66" s="40" t="str">
        <f>"Объем: "&amp;[1]Source!I35&amp;"=107,13/"&amp;"100"</f>
        <v>Объем: 1,0713=107,13/100</v>
      </c>
      <c r="M66"/>
      <c r="N66"/>
      <c r="O66"/>
      <c r="P66"/>
      <c r="Q66"/>
    </row>
    <row r="67" spans="1:33" ht="14.25" x14ac:dyDescent="0.2">
      <c r="A67" s="31"/>
      <c r="B67" s="31"/>
      <c r="C67" s="31" t="s">
        <v>34</v>
      </c>
      <c r="D67" s="32"/>
      <c r="E67" s="4"/>
      <c r="F67" s="33">
        <f>[1]Source!AO35</f>
        <v>161.15</v>
      </c>
      <c r="G67" s="34" t="str">
        <f>[1]Source!DG35</f>
        <v>)*4*168</v>
      </c>
      <c r="H67" s="4">
        <f>[1]Source!AV35</f>
        <v>1</v>
      </c>
      <c r="I67" s="4">
        <f>IF([1]Source!BA35&lt;&gt; 0, [1]Source!BA35, 1)</f>
        <v>1</v>
      </c>
      <c r="J67" s="33">
        <f>[1]Source!S35</f>
        <v>116014.08</v>
      </c>
      <c r="K67" s="33"/>
      <c r="M67"/>
      <c r="N67"/>
      <c r="O67"/>
      <c r="P67"/>
      <c r="Q67"/>
    </row>
    <row r="68" spans="1:33" ht="14.25" x14ac:dyDescent="0.2">
      <c r="A68" s="31"/>
      <c r="B68" s="31"/>
      <c r="C68" s="31" t="s">
        <v>40</v>
      </c>
      <c r="D68" s="32" t="s">
        <v>39</v>
      </c>
      <c r="E68" s="4">
        <f>[1]Source!AT35</f>
        <v>70</v>
      </c>
      <c r="F68" s="33"/>
      <c r="G68" s="34"/>
      <c r="H68" s="4"/>
      <c r="I68" s="4"/>
      <c r="J68" s="33">
        <f>SUM(AC65:AC67)</f>
        <v>81209.86</v>
      </c>
      <c r="K68" s="33"/>
      <c r="M68"/>
      <c r="N68"/>
      <c r="O68"/>
      <c r="P68"/>
      <c r="Q68"/>
    </row>
    <row r="69" spans="1:33" ht="14.25" x14ac:dyDescent="0.2">
      <c r="A69" s="31"/>
      <c r="B69" s="31"/>
      <c r="C69" s="31" t="s">
        <v>41</v>
      </c>
      <c r="D69" s="32" t="s">
        <v>39</v>
      </c>
      <c r="E69" s="4">
        <f>[1]Source!AU35</f>
        <v>10</v>
      </c>
      <c r="F69" s="33"/>
      <c r="G69" s="34"/>
      <c r="H69" s="4"/>
      <c r="I69" s="4"/>
      <c r="J69" s="33">
        <f>SUM(AE65:AE68)</f>
        <v>11601.41</v>
      </c>
      <c r="K69" s="33"/>
      <c r="M69"/>
      <c r="N69"/>
      <c r="O69"/>
      <c r="P69"/>
      <c r="Q69"/>
    </row>
    <row r="70" spans="1:33" ht="14.25" x14ac:dyDescent="0.2">
      <c r="A70" s="31"/>
      <c r="B70" s="31"/>
      <c r="C70" s="31" t="s">
        <v>42</v>
      </c>
      <c r="D70" s="32" t="s">
        <v>43</v>
      </c>
      <c r="E70" s="4">
        <f>[1]Source!AQ35</f>
        <v>0.65</v>
      </c>
      <c r="F70" s="33"/>
      <c r="G70" s="34" t="str">
        <f>[1]Source!DI35</f>
        <v>)*4*168</v>
      </c>
      <c r="H70" s="4">
        <f>[1]Source!AV35</f>
        <v>1</v>
      </c>
      <c r="I70" s="4"/>
      <c r="J70" s="33"/>
      <c r="K70" s="33">
        <f>[1]Source!U35</f>
        <v>467.94383999999997</v>
      </c>
      <c r="M70"/>
      <c r="N70"/>
      <c r="O70"/>
      <c r="P70"/>
      <c r="Q70"/>
    </row>
    <row r="71" spans="1:33" ht="15" x14ac:dyDescent="0.25">
      <c r="A71" s="35"/>
      <c r="B71" s="35"/>
      <c r="C71" s="35"/>
      <c r="D71" s="35"/>
      <c r="E71" s="35"/>
      <c r="F71" s="35"/>
      <c r="G71" s="35"/>
      <c r="H71" s="35"/>
      <c r="I71" s="36">
        <f>J67+J68+J69</f>
        <v>208825.35</v>
      </c>
      <c r="J71" s="36"/>
      <c r="K71" s="37">
        <f>IF([1]Source!I35&lt;&gt;0, ROUND(I71/[1]Source!I35, 2), 0)</f>
        <v>194927.05</v>
      </c>
      <c r="M71"/>
      <c r="N71"/>
      <c r="O71"/>
      <c r="P71"/>
      <c r="Q71"/>
      <c r="AA71" s="38">
        <f>I71</f>
        <v>208825.35</v>
      </c>
    </row>
    <row r="72" spans="1:33" ht="57" x14ac:dyDescent="0.2">
      <c r="A72" s="31">
        <v>8</v>
      </c>
      <c r="B72" s="31" t="str">
        <f>[1]Source!F36</f>
        <v>5.3-1102-8-2/1</v>
      </c>
      <c r="C72" s="31" t="str">
        <f>[1]Source!G36</f>
        <v>Уборка свежевыпавшего снега вручную, добавлять на каждые следующие 10 см увеличения толщины слоя</v>
      </c>
      <c r="D72" s="32" t="str">
        <f>[1]Source!H36</f>
        <v>100 м2</v>
      </c>
      <c r="E72" s="4">
        <f>[1]Source!I36</f>
        <v>1.0712999999999999</v>
      </c>
      <c r="F72" s="33"/>
      <c r="G72" s="34"/>
      <c r="H72" s="4"/>
      <c r="I72" s="4"/>
      <c r="J72" s="33"/>
      <c r="K72" s="33"/>
      <c r="M72"/>
      <c r="N72"/>
      <c r="O72"/>
      <c r="P72"/>
      <c r="Q72"/>
      <c r="AB72">
        <f>ROUND(([1]Source!BZ36/100)*ROUND(([1]Source!AF36*[1]Source!AV36)*[1]Source!I36, 2), 2)</f>
        <v>58724.07</v>
      </c>
      <c r="AC72">
        <f>[1]Source!X36</f>
        <v>58724.07</v>
      </c>
      <c r="AD72">
        <f>ROUND(([1]Source!CA36/100)*ROUND(([1]Source!AF36*[1]Source!AV36)*[1]Source!I36, 2), 2)</f>
        <v>8389.15</v>
      </c>
      <c r="AE72">
        <f>[1]Source!Y36</f>
        <v>8389.15</v>
      </c>
      <c r="AF72">
        <f>ROUND((175/100)*ROUND(([1]Source!AE36*[1]Source!AV36)*[1]Source!I36, 2), 2)</f>
        <v>0</v>
      </c>
      <c r="AG72">
        <f>ROUND((108/100)*ROUND([1]Source!CS36*[1]Source!I36, 2), 2)</f>
        <v>0</v>
      </c>
    </row>
    <row r="73" spans="1:33" x14ac:dyDescent="0.2">
      <c r="C73" s="40" t="str">
        <f>"Объем: "&amp;[1]Source!I36&amp;"=107,13/"&amp;"100"</f>
        <v>Объем: 1,0713=107,13/100</v>
      </c>
      <c r="M73"/>
      <c r="N73"/>
      <c r="O73"/>
      <c r="P73"/>
      <c r="Q73"/>
    </row>
    <row r="74" spans="1:33" ht="14.25" x14ac:dyDescent="0.2">
      <c r="A74" s="31"/>
      <c r="B74" s="31"/>
      <c r="C74" s="31" t="s">
        <v>34</v>
      </c>
      <c r="D74" s="32"/>
      <c r="E74" s="4"/>
      <c r="F74" s="33">
        <f>[1]Source!AO36</f>
        <v>116.53</v>
      </c>
      <c r="G74" s="34" t="str">
        <f>[1]Source!DG36</f>
        <v>)*4*168</v>
      </c>
      <c r="H74" s="4">
        <f>[1]Source!AV36</f>
        <v>1</v>
      </c>
      <c r="I74" s="4">
        <f>IF([1]Source!BA36&lt;&gt; 0, [1]Source!BA36, 1)</f>
        <v>1</v>
      </c>
      <c r="J74" s="33">
        <f>[1]Source!S36</f>
        <v>83891.53</v>
      </c>
      <c r="K74" s="33"/>
      <c r="M74"/>
      <c r="N74"/>
      <c r="O74"/>
      <c r="P74"/>
      <c r="Q74"/>
    </row>
    <row r="75" spans="1:33" ht="14.25" x14ac:dyDescent="0.2">
      <c r="A75" s="31"/>
      <c r="B75" s="31"/>
      <c r="C75" s="31" t="s">
        <v>40</v>
      </c>
      <c r="D75" s="32" t="s">
        <v>39</v>
      </c>
      <c r="E75" s="4">
        <f>[1]Source!AT36</f>
        <v>70</v>
      </c>
      <c r="F75" s="33"/>
      <c r="G75" s="34"/>
      <c r="H75" s="4"/>
      <c r="I75" s="4"/>
      <c r="J75" s="33">
        <f>SUM(AC72:AC74)</f>
        <v>58724.07</v>
      </c>
      <c r="K75" s="33"/>
      <c r="M75"/>
      <c r="N75"/>
      <c r="O75"/>
      <c r="P75"/>
      <c r="Q75"/>
    </row>
    <row r="76" spans="1:33" ht="14.25" x14ac:dyDescent="0.2">
      <c r="A76" s="31"/>
      <c r="B76" s="31"/>
      <c r="C76" s="31" t="s">
        <v>41</v>
      </c>
      <c r="D76" s="32" t="s">
        <v>39</v>
      </c>
      <c r="E76" s="4">
        <f>[1]Source!AU36</f>
        <v>10</v>
      </c>
      <c r="F76" s="33"/>
      <c r="G76" s="34"/>
      <c r="H76" s="4"/>
      <c r="I76" s="4"/>
      <c r="J76" s="33">
        <f>SUM(AE72:AE75)</f>
        <v>8389.15</v>
      </c>
      <c r="K76" s="33"/>
      <c r="M76"/>
      <c r="N76"/>
      <c r="O76"/>
      <c r="P76"/>
      <c r="Q76"/>
    </row>
    <row r="77" spans="1:33" ht="14.25" x14ac:dyDescent="0.2">
      <c r="A77" s="31"/>
      <c r="B77" s="31"/>
      <c r="C77" s="31" t="s">
        <v>42</v>
      </c>
      <c r="D77" s="32" t="s">
        <v>43</v>
      </c>
      <c r="E77" s="4">
        <f>[1]Source!AQ36</f>
        <v>0.47</v>
      </c>
      <c r="F77" s="33"/>
      <c r="G77" s="34" t="str">
        <f>[1]Source!DI36</f>
        <v>)*4*168</v>
      </c>
      <c r="H77" s="4">
        <f>[1]Source!AV36</f>
        <v>1</v>
      </c>
      <c r="I77" s="4"/>
      <c r="J77" s="33"/>
      <c r="K77" s="33">
        <f>[1]Source!U36</f>
        <v>338.35939199999996</v>
      </c>
      <c r="M77"/>
      <c r="N77"/>
      <c r="O77"/>
      <c r="P77"/>
      <c r="Q77"/>
    </row>
    <row r="78" spans="1:33" ht="15" x14ac:dyDescent="0.25">
      <c r="A78" s="35"/>
      <c r="B78" s="35"/>
      <c r="C78" s="35"/>
      <c r="D78" s="35"/>
      <c r="E78" s="35"/>
      <c r="F78" s="35"/>
      <c r="G78" s="35"/>
      <c r="H78" s="35"/>
      <c r="I78" s="36">
        <f>J74+J75+J76</f>
        <v>151004.75</v>
      </c>
      <c r="J78" s="36"/>
      <c r="K78" s="37">
        <f>IF([1]Source!I36&lt;&gt;0, ROUND(I78/[1]Source!I36, 2), 0)</f>
        <v>140954.68</v>
      </c>
      <c r="M78"/>
      <c r="N78"/>
      <c r="O78"/>
      <c r="P78"/>
      <c r="Q78"/>
      <c r="AA78" s="38">
        <f>I78</f>
        <v>151004.75</v>
      </c>
    </row>
    <row r="79" spans="1:33" ht="57" x14ac:dyDescent="0.2">
      <c r="A79" s="31">
        <v>9</v>
      </c>
      <c r="B79" s="31" t="str">
        <f>[1]Source!F37</f>
        <v>5.3-1102-24-1/1</v>
      </c>
      <c r="C79" s="31" t="str">
        <f>[1]Source!G37</f>
        <v>Уборка свежевыпавшего снега ручной самоходной машиной - ширина захвата 120 см( 20% от 7142 м2, V= 7142 м2 *0,2= 1428,4 м2 )</v>
      </c>
      <c r="D79" s="32" t="str">
        <f>[1]Source!H37</f>
        <v>100 м2</v>
      </c>
      <c r="E79" s="4">
        <f>[1]Source!I37</f>
        <v>14.284000000000001</v>
      </c>
      <c r="F79" s="33"/>
      <c r="G79" s="34"/>
      <c r="H79" s="4"/>
      <c r="I79" s="4"/>
      <c r="J79" s="33"/>
      <c r="K79" s="33"/>
      <c r="M79"/>
      <c r="N79"/>
      <c r="O79"/>
      <c r="P79"/>
      <c r="Q79"/>
      <c r="AB79">
        <f>ROUND(([1]Source!BZ37/100)*ROUND(([1]Source!AF37*[1]Source!AV37)*[1]Source!I37, 2), 2)</f>
        <v>652164.93000000005</v>
      </c>
      <c r="AC79">
        <f>[1]Source!X37</f>
        <v>652164.93000000005</v>
      </c>
      <c r="AD79">
        <f>ROUND(([1]Source!CA37/100)*ROUND(([1]Source!AF37*[1]Source!AV37)*[1]Source!I37, 2), 2)</f>
        <v>93166.42</v>
      </c>
      <c r="AE79">
        <f>[1]Source!Y37</f>
        <v>93166.42</v>
      </c>
      <c r="AF79">
        <f>ROUND((175/100)*ROUND(([1]Source!AE37*[1]Source!AV37)*[1]Source!I37, 2), 2)</f>
        <v>1511.83</v>
      </c>
      <c r="AG79">
        <f>ROUND((108/100)*ROUND([1]Source!CS37*[1]Source!I37, 2), 2)</f>
        <v>933.01</v>
      </c>
    </row>
    <row r="80" spans="1:33" x14ac:dyDescent="0.2">
      <c r="C80" s="40" t="str">
        <f>"Объем: "&amp;[1]Source!I37&amp;"=1428,4/"&amp;"100"</f>
        <v>Объем: 14,284=1428,4/100</v>
      </c>
      <c r="M80"/>
      <c r="N80"/>
      <c r="O80"/>
      <c r="P80"/>
      <c r="Q80"/>
    </row>
    <row r="81" spans="1:33" ht="14.25" x14ac:dyDescent="0.2">
      <c r="A81" s="31"/>
      <c r="B81" s="31"/>
      <c r="C81" s="31" t="s">
        <v>34</v>
      </c>
      <c r="D81" s="32"/>
      <c r="E81" s="4"/>
      <c r="F81" s="33">
        <f>[1]Source!AO37</f>
        <v>97.06</v>
      </c>
      <c r="G81" s="34" t="str">
        <f>[1]Source!DG37</f>
        <v>)*4*168</v>
      </c>
      <c r="H81" s="4">
        <f>[1]Source!AV37</f>
        <v>1</v>
      </c>
      <c r="I81" s="4">
        <f>IF([1]Source!BA37&lt;&gt; 0, [1]Source!BA37, 1)</f>
        <v>1</v>
      </c>
      <c r="J81" s="33">
        <f>[1]Source!S37</f>
        <v>931664.19</v>
      </c>
      <c r="K81" s="33"/>
      <c r="M81"/>
      <c r="N81"/>
      <c r="O81"/>
      <c r="P81"/>
      <c r="Q81"/>
    </row>
    <row r="82" spans="1:33" ht="14.25" x14ac:dyDescent="0.2">
      <c r="A82" s="31"/>
      <c r="B82" s="31"/>
      <c r="C82" s="31" t="s">
        <v>33</v>
      </c>
      <c r="D82" s="32"/>
      <c r="E82" s="4"/>
      <c r="F82" s="33">
        <f>[1]Source!AM37</f>
        <v>33.97</v>
      </c>
      <c r="G82" s="34" t="str">
        <f>[1]Source!DE37</f>
        <v>)*4*168</v>
      </c>
      <c r="H82" s="4">
        <f>[1]Source!AV37</f>
        <v>1</v>
      </c>
      <c r="I82" s="4">
        <f>IF([1]Source!BB37&lt;&gt; 0, [1]Source!BB37, 1)</f>
        <v>1</v>
      </c>
      <c r="J82" s="33">
        <f>[1]Source!Q37</f>
        <v>326072.87</v>
      </c>
      <c r="K82" s="33"/>
      <c r="M82"/>
      <c r="N82"/>
      <c r="O82"/>
      <c r="P82"/>
      <c r="Q82"/>
    </row>
    <row r="83" spans="1:33" ht="14.25" x14ac:dyDescent="0.2">
      <c r="A83" s="31"/>
      <c r="B83" s="31"/>
      <c r="C83" s="31" t="s">
        <v>37</v>
      </c>
      <c r="D83" s="32"/>
      <c r="E83" s="4"/>
      <c r="F83" s="33">
        <f>[1]Source!AN37</f>
        <v>0.09</v>
      </c>
      <c r="G83" s="34" t="str">
        <f>[1]Source!DF37</f>
        <v>)*4*168</v>
      </c>
      <c r="H83" s="4">
        <f>[1]Source!AV37</f>
        <v>1</v>
      </c>
      <c r="I83" s="4">
        <f>IF([1]Source!BS37&lt;&gt; 0, [1]Source!BS37, 1)</f>
        <v>1</v>
      </c>
      <c r="J83" s="41">
        <f>[1]Source!R37</f>
        <v>863.9</v>
      </c>
      <c r="K83" s="33"/>
      <c r="M83"/>
      <c r="N83"/>
      <c r="O83"/>
      <c r="P83"/>
      <c r="Q83"/>
    </row>
    <row r="84" spans="1:33" ht="14.25" x14ac:dyDescent="0.2">
      <c r="A84" s="31"/>
      <c r="B84" s="31"/>
      <c r="C84" s="31" t="s">
        <v>40</v>
      </c>
      <c r="D84" s="32" t="s">
        <v>39</v>
      </c>
      <c r="E84" s="4">
        <f>[1]Source!AT37</f>
        <v>70</v>
      </c>
      <c r="F84" s="33"/>
      <c r="G84" s="34"/>
      <c r="H84" s="4"/>
      <c r="I84" s="4"/>
      <c r="J84" s="33">
        <f>SUM(AC79:AC83)</f>
        <v>652164.93000000005</v>
      </c>
      <c r="K84" s="33"/>
      <c r="M84"/>
      <c r="N84"/>
      <c r="O84"/>
      <c r="P84"/>
      <c r="Q84"/>
    </row>
    <row r="85" spans="1:33" ht="14.25" x14ac:dyDescent="0.2">
      <c r="A85" s="31"/>
      <c r="B85" s="31"/>
      <c r="C85" s="31" t="s">
        <v>41</v>
      </c>
      <c r="D85" s="32" t="s">
        <v>39</v>
      </c>
      <c r="E85" s="4">
        <f>[1]Source!AU37</f>
        <v>10</v>
      </c>
      <c r="F85" s="33"/>
      <c r="G85" s="34"/>
      <c r="H85" s="4"/>
      <c r="I85" s="4"/>
      <c r="J85" s="33">
        <f>SUM(AE79:AE84)</f>
        <v>93166.42</v>
      </c>
      <c r="K85" s="33"/>
      <c r="M85"/>
      <c r="N85"/>
      <c r="O85"/>
      <c r="P85"/>
      <c r="Q85"/>
    </row>
    <row r="86" spans="1:33" ht="14.25" x14ac:dyDescent="0.2">
      <c r="A86" s="31"/>
      <c r="B86" s="31"/>
      <c r="C86" s="31" t="s">
        <v>38</v>
      </c>
      <c r="D86" s="32" t="s">
        <v>39</v>
      </c>
      <c r="E86" s="4">
        <f>108</f>
        <v>108</v>
      </c>
      <c r="F86" s="33"/>
      <c r="G86" s="34"/>
      <c r="H86" s="4"/>
      <c r="I86" s="4"/>
      <c r="J86" s="33">
        <f>SUM(AG79:AG85)</f>
        <v>933.01</v>
      </c>
      <c r="K86" s="33"/>
      <c r="M86"/>
      <c r="N86"/>
      <c r="O86"/>
      <c r="P86"/>
      <c r="Q86"/>
    </row>
    <row r="87" spans="1:33" ht="14.25" x14ac:dyDescent="0.2">
      <c r="A87" s="31"/>
      <c r="B87" s="31"/>
      <c r="C87" s="31" t="s">
        <v>42</v>
      </c>
      <c r="D87" s="32" t="s">
        <v>43</v>
      </c>
      <c r="E87" s="4">
        <f>[1]Source!AQ37</f>
        <v>0.35</v>
      </c>
      <c r="F87" s="33"/>
      <c r="G87" s="34" t="str">
        <f>[1]Source!DI37</f>
        <v>)*4*168</v>
      </c>
      <c r="H87" s="4">
        <f>[1]Source!AV37</f>
        <v>1</v>
      </c>
      <c r="I87" s="4"/>
      <c r="J87" s="33"/>
      <c r="K87" s="33">
        <f>[1]Source!U37</f>
        <v>3359.5967999999998</v>
      </c>
      <c r="M87"/>
      <c r="N87"/>
      <c r="O87"/>
      <c r="P87"/>
      <c r="Q87"/>
    </row>
    <row r="88" spans="1:33" ht="15" x14ac:dyDescent="0.25">
      <c r="A88" s="35"/>
      <c r="B88" s="35"/>
      <c r="C88" s="35"/>
      <c r="D88" s="35"/>
      <c r="E88" s="35"/>
      <c r="F88" s="35"/>
      <c r="G88" s="35"/>
      <c r="H88" s="35"/>
      <c r="I88" s="36">
        <f>J81+J82+J84+J85+J86</f>
        <v>2004001.4200000002</v>
      </c>
      <c r="J88" s="36"/>
      <c r="K88" s="37">
        <f>IF([1]Source!I37&lt;&gt;0, ROUND(I88/[1]Source!I37, 2), 0)</f>
        <v>140296.94</v>
      </c>
      <c r="M88"/>
      <c r="N88"/>
      <c r="O88"/>
      <c r="P88"/>
      <c r="Q88"/>
      <c r="AA88" s="38">
        <f>I88</f>
        <v>2004001.4200000002</v>
      </c>
    </row>
    <row r="89" spans="1:33" ht="42.75" x14ac:dyDescent="0.2">
      <c r="A89" s="31">
        <v>10</v>
      </c>
      <c r="B89" s="31" t="str">
        <f>[1]Source!F38</f>
        <v>5.3-1102-9-1/1</v>
      </c>
      <c r="C89" s="31" t="str">
        <f>[1]Source!G38</f>
        <v>Колка льда на обледеневших покрытиях вручную( S=7142 м2*0,1*0,3*0,5=107,13 м2)</v>
      </c>
      <c r="D89" s="32" t="str">
        <f>[1]Source!H38</f>
        <v>100 м2</v>
      </c>
      <c r="E89" s="4">
        <f>[1]Source!I38</f>
        <v>1.0712999999999999</v>
      </c>
      <c r="F89" s="33"/>
      <c r="G89" s="34"/>
      <c r="H89" s="4"/>
      <c r="I89" s="4"/>
      <c r="J89" s="33"/>
      <c r="K89" s="33"/>
      <c r="M89"/>
      <c r="N89"/>
      <c r="O89"/>
      <c r="P89"/>
      <c r="Q89"/>
      <c r="AB89">
        <f>ROUND(([1]Source!BZ38/100)*ROUND(([1]Source!AF38*[1]Source!AV38)*[1]Source!I38, 2), 2)</f>
        <v>150554.45000000001</v>
      </c>
      <c r="AC89">
        <f>[1]Source!X38</f>
        <v>150554.45000000001</v>
      </c>
      <c r="AD89">
        <f>ROUND(([1]Source!CA38/100)*ROUND(([1]Source!AF38*[1]Source!AV38)*[1]Source!I38, 2), 2)</f>
        <v>21507.78</v>
      </c>
      <c r="AE89">
        <f>[1]Source!Y38</f>
        <v>21507.78</v>
      </c>
      <c r="AF89">
        <f>ROUND((175/100)*ROUND(([1]Source!AE38*[1]Source!AV38)*[1]Source!I38, 2), 2)</f>
        <v>0</v>
      </c>
      <c r="AG89">
        <f>ROUND((108/100)*ROUND([1]Source!CS38*[1]Source!I38, 2), 2)</f>
        <v>0</v>
      </c>
    </row>
    <row r="90" spans="1:33" x14ac:dyDescent="0.2">
      <c r="C90" s="40" t="str">
        <f>"Объем: "&amp;[1]Source!I38&amp;"=107,13/"&amp;"100"</f>
        <v>Объем: 1,0713=107,13/100</v>
      </c>
      <c r="M90"/>
      <c r="N90"/>
      <c r="O90"/>
      <c r="P90"/>
      <c r="Q90"/>
    </row>
    <row r="91" spans="1:33" ht="14.25" x14ac:dyDescent="0.2">
      <c r="A91" s="31"/>
      <c r="B91" s="31"/>
      <c r="C91" s="31" t="s">
        <v>34</v>
      </c>
      <c r="D91" s="32"/>
      <c r="E91" s="4"/>
      <c r="F91" s="33">
        <f>[1]Source!AO38</f>
        <v>597.51</v>
      </c>
      <c r="G91" s="34" t="str">
        <f>[1]Source!DG38</f>
        <v>)*2*168</v>
      </c>
      <c r="H91" s="4">
        <f>[1]Source!AV38</f>
        <v>1</v>
      </c>
      <c r="I91" s="4">
        <f>IF([1]Source!BA38&lt;&gt; 0, [1]Source!BA38, 1)</f>
        <v>1</v>
      </c>
      <c r="J91" s="33">
        <f>[1]Source!S38</f>
        <v>215077.79</v>
      </c>
      <c r="K91" s="33"/>
      <c r="M91"/>
      <c r="N91"/>
      <c r="O91"/>
      <c r="P91"/>
      <c r="Q91"/>
    </row>
    <row r="92" spans="1:33" ht="14.25" x14ac:dyDescent="0.2">
      <c r="A92" s="31"/>
      <c r="B92" s="31"/>
      <c r="C92" s="31" t="s">
        <v>40</v>
      </c>
      <c r="D92" s="32" t="s">
        <v>39</v>
      </c>
      <c r="E92" s="4">
        <f>[1]Source!AT38</f>
        <v>70</v>
      </c>
      <c r="F92" s="33"/>
      <c r="G92" s="34"/>
      <c r="H92" s="4"/>
      <c r="I92" s="4"/>
      <c r="J92" s="33">
        <f>SUM(AC89:AC91)</f>
        <v>150554.45000000001</v>
      </c>
      <c r="K92" s="33"/>
      <c r="M92"/>
      <c r="N92"/>
      <c r="O92"/>
      <c r="P92"/>
      <c r="Q92"/>
    </row>
    <row r="93" spans="1:33" ht="14.25" x14ac:dyDescent="0.2">
      <c r="A93" s="31"/>
      <c r="B93" s="31"/>
      <c r="C93" s="31" t="s">
        <v>41</v>
      </c>
      <c r="D93" s="32" t="s">
        <v>39</v>
      </c>
      <c r="E93" s="4">
        <f>[1]Source!AU38</f>
        <v>10</v>
      </c>
      <c r="F93" s="33"/>
      <c r="G93" s="34"/>
      <c r="H93" s="4"/>
      <c r="I93" s="4"/>
      <c r="J93" s="33">
        <f>SUM(AE89:AE92)</f>
        <v>21507.78</v>
      </c>
      <c r="K93" s="33"/>
      <c r="M93"/>
      <c r="N93"/>
      <c r="O93"/>
      <c r="P93"/>
      <c r="Q93"/>
    </row>
    <row r="94" spans="1:33" ht="14.25" x14ac:dyDescent="0.2">
      <c r="A94" s="31"/>
      <c r="B94" s="31"/>
      <c r="C94" s="31" t="s">
        <v>42</v>
      </c>
      <c r="D94" s="32" t="s">
        <v>43</v>
      </c>
      <c r="E94" s="4">
        <f>[1]Source!AQ38</f>
        <v>2.41</v>
      </c>
      <c r="F94" s="33"/>
      <c r="G94" s="34" t="str">
        <f>[1]Source!DI38</f>
        <v>)*2*168</v>
      </c>
      <c r="H94" s="4">
        <f>[1]Source!AV38</f>
        <v>1</v>
      </c>
      <c r="I94" s="4"/>
      <c r="J94" s="33"/>
      <c r="K94" s="33">
        <f>[1]Source!U38</f>
        <v>867.49588799999992</v>
      </c>
      <c r="M94"/>
      <c r="N94"/>
      <c r="O94"/>
      <c r="P94"/>
      <c r="Q94"/>
    </row>
    <row r="95" spans="1:33" ht="15" x14ac:dyDescent="0.25">
      <c r="A95" s="35"/>
      <c r="B95" s="35"/>
      <c r="C95" s="35"/>
      <c r="D95" s="35"/>
      <c r="E95" s="35"/>
      <c r="F95" s="35"/>
      <c r="G95" s="35"/>
      <c r="H95" s="35"/>
      <c r="I95" s="36">
        <f>J91+J92+J93</f>
        <v>387140.02</v>
      </c>
      <c r="J95" s="36"/>
      <c r="K95" s="37">
        <f>IF([1]Source!I38&lt;&gt;0, ROUND(I95/[1]Source!I38, 2), 0)</f>
        <v>361374.05</v>
      </c>
      <c r="M95"/>
      <c r="N95"/>
      <c r="O95"/>
      <c r="P95"/>
      <c r="Q95"/>
      <c r="AA95" s="38">
        <f>I95</f>
        <v>387140.02</v>
      </c>
    </row>
    <row r="96" spans="1:33" ht="57" x14ac:dyDescent="0.2">
      <c r="A96" s="59">
        <v>11</v>
      </c>
      <c r="B96" s="59" t="str">
        <f>[1]Source!F39</f>
        <v>калькуляция</v>
      </c>
      <c r="C96" s="59" t="str">
        <f>[1]Source!G39</f>
        <v>Посыпка  гранитной крошкой дорожных покрытий средствами малой механизации( расход крошки 100 г/м2)</v>
      </c>
      <c r="D96" s="60" t="str">
        <f>[1]Source!H39</f>
        <v>м2</v>
      </c>
      <c r="E96" s="61">
        <f>[1]Source!I39</f>
        <v>4999.3999999999996</v>
      </c>
      <c r="F96" s="62"/>
      <c r="G96" s="63"/>
      <c r="H96" s="61"/>
      <c r="I96" s="61"/>
      <c r="J96" s="62"/>
      <c r="K96" s="62"/>
      <c r="M96"/>
      <c r="N96"/>
      <c r="O96"/>
      <c r="P96"/>
      <c r="Q96"/>
      <c r="AB96">
        <f>ROUND(([1]Source!BZ39/100)*ROUND(([1]Source!AF39*[1]Source!AV39)*[1]Source!I39, 2), 2)</f>
        <v>0</v>
      </c>
      <c r="AC96">
        <f>[1]Source!X39</f>
        <v>0</v>
      </c>
      <c r="AD96">
        <f>ROUND(([1]Source!CA39/100)*ROUND(([1]Source!AF39*[1]Source!AV39)*[1]Source!I39, 2), 2)</f>
        <v>0</v>
      </c>
      <c r="AE96">
        <f>[1]Source!Y39</f>
        <v>0</v>
      </c>
      <c r="AF96">
        <f>ROUND((175/100)*ROUND(([1]Source!AE39*[1]Source!AV39)*[1]Source!I39, 2), 2)</f>
        <v>0</v>
      </c>
      <c r="AG96">
        <f>ROUND((108/100)*ROUND([1]Source!CS39*[1]Source!I39, 2), 2)</f>
        <v>0</v>
      </c>
    </row>
    <row r="97" spans="1:33" ht="14.25" x14ac:dyDescent="0.2">
      <c r="A97" s="59"/>
      <c r="B97" s="59"/>
      <c r="C97" s="59" t="s">
        <v>33</v>
      </c>
      <c r="D97" s="60"/>
      <c r="E97" s="61"/>
      <c r="F97" s="62">
        <f>[1]Source!AM39</f>
        <v>0.33</v>
      </c>
      <c r="G97" s="63" t="str">
        <f>[1]Source!DE39</f>
        <v>)*4*168</v>
      </c>
      <c r="H97" s="61">
        <f>[1]Source!AV39</f>
        <v>1</v>
      </c>
      <c r="I97" s="61">
        <f>IF([1]Source!BB39&lt;&gt; 0, [1]Source!BB39, 1)</f>
        <v>1</v>
      </c>
      <c r="J97" s="62">
        <f>[1]Source!Q39</f>
        <v>1108666.94</v>
      </c>
      <c r="K97" s="62"/>
      <c r="M97"/>
      <c r="N97"/>
      <c r="O97"/>
      <c r="P97"/>
      <c r="Q97"/>
    </row>
    <row r="98" spans="1:33" ht="14.25" x14ac:dyDescent="0.2">
      <c r="A98" s="59" t="s">
        <v>44</v>
      </c>
      <c r="B98" s="59" t="str">
        <f>[1]Source!F40</f>
        <v>цена поставщика</v>
      </c>
      <c r="C98" s="59" t="str">
        <f>[1]Source!G40</f>
        <v>Крошка гранитная</v>
      </c>
      <c r="D98" s="60" t="str">
        <f>[1]Source!H40</f>
        <v>кг</v>
      </c>
      <c r="E98" s="61">
        <f>[1]Source!I40</f>
        <v>335959.68</v>
      </c>
      <c r="F98" s="62">
        <f>[1]Source!AK40</f>
        <v>4.43</v>
      </c>
      <c r="G98" s="64" t="s">
        <v>45</v>
      </c>
      <c r="H98" s="61">
        <f>[1]Source!AW40</f>
        <v>1</v>
      </c>
      <c r="I98" s="61">
        <f>IF([1]Source!BC40&lt;&gt; 0, [1]Source!BC40, 1)</f>
        <v>1</v>
      </c>
      <c r="J98" s="62">
        <f>[1]Source!O40</f>
        <v>1488301.38</v>
      </c>
      <c r="K98" s="62"/>
      <c r="M98"/>
      <c r="N98"/>
      <c r="O98"/>
      <c r="P98"/>
      <c r="Q98"/>
      <c r="AB98">
        <f>ROUND(([1]Source!BZ40/100)*ROUND(([1]Source!AF40*[1]Source!AV40)*[1]Source!I40, 2), 2)</f>
        <v>0</v>
      </c>
      <c r="AC98">
        <f>[1]Source!X40</f>
        <v>0</v>
      </c>
      <c r="AD98">
        <f>ROUND(([1]Source!CA40/100)*ROUND(([1]Source!AF40*[1]Source!AV40)*[1]Source!I40, 2), 2)</f>
        <v>0</v>
      </c>
      <c r="AE98">
        <f>[1]Source!Y40</f>
        <v>0</v>
      </c>
      <c r="AF98">
        <f>ROUND((175/100)*ROUND(([1]Source!AE40*[1]Source!AV40)*[1]Source!I40, 2), 2)</f>
        <v>0</v>
      </c>
      <c r="AG98">
        <f>ROUND((108/100)*ROUND([1]Source!CS40*[1]Source!I40, 2), 2)</f>
        <v>0</v>
      </c>
    </row>
    <row r="99" spans="1:33" ht="15" x14ac:dyDescent="0.25">
      <c r="A99" s="65"/>
      <c r="B99" s="65"/>
      <c r="C99" s="65"/>
      <c r="D99" s="65"/>
      <c r="E99" s="65"/>
      <c r="F99" s="65"/>
      <c r="G99" s="65"/>
      <c r="H99" s="65"/>
      <c r="I99" s="66">
        <f>J97+SUM(J98:J98)</f>
        <v>2596968.3199999998</v>
      </c>
      <c r="J99" s="66"/>
      <c r="K99" s="67">
        <f>IF([1]Source!I39&lt;&gt;0, ROUND(I99/[1]Source!I39, 2), 0)</f>
        <v>519.46</v>
      </c>
      <c r="M99"/>
      <c r="N99"/>
      <c r="O99"/>
      <c r="P99"/>
      <c r="Q99"/>
      <c r="AA99" s="38">
        <f>I99</f>
        <v>2596968.3199999998</v>
      </c>
    </row>
    <row r="100" spans="1:33" ht="28.5" x14ac:dyDescent="0.2">
      <c r="A100" s="31">
        <v>12</v>
      </c>
      <c r="B100" s="31" t="str">
        <f>[1]Source!F41</f>
        <v>калькуляция</v>
      </c>
      <c r="C100" s="31" t="str">
        <f>[1]Source!G41</f>
        <v>Посыпка гранитной крошкой дорожных покрытий вручную( 100г/м2 )</v>
      </c>
      <c r="D100" s="32" t="str">
        <f>[1]Source!H41</f>
        <v>м2</v>
      </c>
      <c r="E100" s="4">
        <f>[1]Source!I41</f>
        <v>2142.6</v>
      </c>
      <c r="F100" s="33"/>
      <c r="G100" s="34"/>
      <c r="H100" s="4"/>
      <c r="I100" s="4"/>
      <c r="J100" s="33"/>
      <c r="K100" s="33"/>
      <c r="M100"/>
      <c r="N100"/>
      <c r="O100"/>
      <c r="P100"/>
      <c r="Q100"/>
      <c r="AB100">
        <f>ROUND(([1]Source!BZ41/100)*ROUND(([1]Source!AF41*[1]Source!AV41)*[1]Source!I41, 2), 2)</f>
        <v>0</v>
      </c>
      <c r="AC100">
        <f>[1]Source!X41</f>
        <v>0</v>
      </c>
      <c r="AD100">
        <f>ROUND(([1]Source!CA41/100)*ROUND(([1]Source!AF41*[1]Source!AV41)*[1]Source!I41, 2), 2)</f>
        <v>0</v>
      </c>
      <c r="AE100">
        <f>[1]Source!Y41</f>
        <v>0</v>
      </c>
      <c r="AF100">
        <f>ROUND((175/100)*ROUND(([1]Source!AE41*[1]Source!AV41)*[1]Source!I41, 2), 2)</f>
        <v>0</v>
      </c>
      <c r="AG100">
        <f>ROUND((108/100)*ROUND([1]Source!CS41*[1]Source!I41, 2), 2)</f>
        <v>0</v>
      </c>
    </row>
    <row r="101" spans="1:33" ht="14.25" x14ac:dyDescent="0.2">
      <c r="A101" s="31"/>
      <c r="B101" s="31"/>
      <c r="C101" s="31" t="s">
        <v>34</v>
      </c>
      <c r="D101" s="32"/>
      <c r="E101" s="4"/>
      <c r="F101" s="33">
        <f>[1]Source!AO41</f>
        <v>2.08</v>
      </c>
      <c r="G101" s="34" t="str">
        <f>[1]Source!DG41</f>
        <v>)*4*168</v>
      </c>
      <c r="H101" s="4">
        <f>[1]Source!AV41</f>
        <v>1</v>
      </c>
      <c r="I101" s="4">
        <f>IF([1]Source!BA41&lt;&gt; 0, [1]Source!BA41, 1)</f>
        <v>1</v>
      </c>
      <c r="J101" s="33">
        <f>[1]Source!S41</f>
        <v>2994840.58</v>
      </c>
      <c r="K101" s="33"/>
      <c r="M101"/>
      <c r="N101"/>
      <c r="O101"/>
      <c r="P101"/>
      <c r="Q101"/>
    </row>
    <row r="102" spans="1:33" ht="14.25" x14ac:dyDescent="0.2">
      <c r="A102" s="31" t="s">
        <v>46</v>
      </c>
      <c r="B102" s="31" t="str">
        <f>[1]Source!F42</f>
        <v>цена поставщика</v>
      </c>
      <c r="C102" s="31" t="str">
        <f>[1]Source!G42</f>
        <v>Крошка гранитная</v>
      </c>
      <c r="D102" s="32" t="str">
        <f>[1]Source!H42</f>
        <v>кг</v>
      </c>
      <c r="E102" s="4">
        <f>[1]Source!I42</f>
        <v>143982.72</v>
      </c>
      <c r="F102" s="33">
        <f>[1]Source!AK42</f>
        <v>4.43</v>
      </c>
      <c r="G102" s="39" t="s">
        <v>45</v>
      </c>
      <c r="H102" s="4">
        <f>[1]Source!AW42</f>
        <v>1</v>
      </c>
      <c r="I102" s="4">
        <f>IF([1]Source!BC42&lt;&gt; 0, [1]Source!BC42, 1)</f>
        <v>1</v>
      </c>
      <c r="J102" s="33">
        <f>[1]Source!O42</f>
        <v>637843.44999999995</v>
      </c>
      <c r="K102" s="33"/>
      <c r="M102"/>
      <c r="N102"/>
      <c r="O102"/>
      <c r="P102"/>
      <c r="Q102"/>
      <c r="AB102">
        <f>ROUND(([1]Source!BZ42/100)*ROUND(([1]Source!AF42*[1]Source!AV42)*[1]Source!I42, 2), 2)</f>
        <v>0</v>
      </c>
      <c r="AC102">
        <f>[1]Source!X42</f>
        <v>0</v>
      </c>
      <c r="AD102">
        <f>ROUND(([1]Source!CA42/100)*ROUND(([1]Source!AF42*[1]Source!AV42)*[1]Source!I42, 2), 2)</f>
        <v>0</v>
      </c>
      <c r="AE102">
        <f>[1]Source!Y42</f>
        <v>0</v>
      </c>
      <c r="AF102">
        <f>ROUND((175/100)*ROUND(([1]Source!AE42*[1]Source!AV42)*[1]Source!I42, 2), 2)</f>
        <v>0</v>
      </c>
      <c r="AG102">
        <f>ROUND((108/100)*ROUND([1]Source!CS42*[1]Source!I42, 2), 2)</f>
        <v>0</v>
      </c>
    </row>
    <row r="103" spans="1:33" ht="15" x14ac:dyDescent="0.25">
      <c r="A103" s="35"/>
      <c r="B103" s="35"/>
      <c r="C103" s="35"/>
      <c r="D103" s="35"/>
      <c r="E103" s="35"/>
      <c r="F103" s="35"/>
      <c r="G103" s="35"/>
      <c r="H103" s="35"/>
      <c r="I103" s="36">
        <f>J101+SUM(J102:J102)</f>
        <v>3632684.0300000003</v>
      </c>
      <c r="J103" s="36"/>
      <c r="K103" s="37">
        <f>IF([1]Source!I41&lt;&gt;0, ROUND(I103/[1]Source!I41, 2), 0)</f>
        <v>1695.46</v>
      </c>
      <c r="M103"/>
      <c r="N103"/>
      <c r="O103"/>
      <c r="P103"/>
      <c r="Q103"/>
      <c r="AA103" s="38">
        <f>I103</f>
        <v>3632684.0300000003</v>
      </c>
    </row>
    <row r="104" spans="1:33" ht="28.5" x14ac:dyDescent="0.2">
      <c r="A104" s="31">
        <v>13</v>
      </c>
      <c r="B104" s="31" t="str">
        <f>[1]Source!F43</f>
        <v>5.4-1201-1-1/1</v>
      </c>
      <c r="C104" s="31" t="str">
        <f>[1]Source!G43</f>
        <v>Сбор случайного мусора по территории</v>
      </c>
      <c r="D104" s="32" t="str">
        <f>[1]Source!H43</f>
        <v>100 м2</v>
      </c>
      <c r="E104" s="4">
        <f>[1]Source!I43</f>
        <v>71.42</v>
      </c>
      <c r="F104" s="33"/>
      <c r="G104" s="34"/>
      <c r="H104" s="4"/>
      <c r="I104" s="4"/>
      <c r="J104" s="33"/>
      <c r="K104" s="33"/>
      <c r="M104"/>
      <c r="N104"/>
      <c r="O104"/>
      <c r="P104"/>
      <c r="Q104"/>
      <c r="AB104">
        <f>ROUND(([1]Source!BZ43/100)*ROUND(([1]Source!AF43*[1]Source!AV43)*[1]Source!I43, 2), 2)</f>
        <v>823261.19</v>
      </c>
      <c r="AC104">
        <f>[1]Source!X43</f>
        <v>823261.19</v>
      </c>
      <c r="AD104">
        <f>ROUND(([1]Source!CA43/100)*ROUND(([1]Source!AF43*[1]Source!AV43)*[1]Source!I43, 2), 2)</f>
        <v>117608.74</v>
      </c>
      <c r="AE104">
        <f>[1]Source!Y43</f>
        <v>117608.74</v>
      </c>
      <c r="AF104">
        <f>ROUND((175/100)*ROUND(([1]Source!AE43*[1]Source!AV43)*[1]Source!I43, 2), 2)</f>
        <v>0</v>
      </c>
      <c r="AG104">
        <f>ROUND((108/100)*ROUND([1]Source!CS43*[1]Source!I43, 2), 2)</f>
        <v>0</v>
      </c>
    </row>
    <row r="105" spans="1:33" x14ac:dyDescent="0.2">
      <c r="C105" s="40" t="str">
        <f>"Объем: "&amp;[1]Source!I43&amp;"=7142/"&amp;"100"</f>
        <v>Объем: 71,42=7142/100</v>
      </c>
      <c r="M105"/>
      <c r="N105"/>
      <c r="O105"/>
      <c r="P105"/>
      <c r="Q105"/>
    </row>
    <row r="106" spans="1:33" ht="14.25" x14ac:dyDescent="0.2">
      <c r="A106" s="31"/>
      <c r="B106" s="31"/>
      <c r="C106" s="31" t="s">
        <v>34</v>
      </c>
      <c r="D106" s="32"/>
      <c r="E106" s="4"/>
      <c r="F106" s="33">
        <f>[1]Source!AO43</f>
        <v>12.4</v>
      </c>
      <c r="G106" s="34" t="str">
        <f>[1]Source!DG43</f>
        <v>)*4*332</v>
      </c>
      <c r="H106" s="4">
        <f>[1]Source!AV43</f>
        <v>1</v>
      </c>
      <c r="I106" s="4">
        <f>IF([1]Source!BA43&lt;&gt; 0, [1]Source!BA43, 1)</f>
        <v>1</v>
      </c>
      <c r="J106" s="33">
        <f>[1]Source!S43</f>
        <v>1176087.42</v>
      </c>
      <c r="K106" s="33"/>
      <c r="M106"/>
      <c r="N106"/>
      <c r="O106"/>
      <c r="P106"/>
      <c r="Q106"/>
    </row>
    <row r="107" spans="1:33" ht="14.25" x14ac:dyDescent="0.2">
      <c r="A107" s="31"/>
      <c r="B107" s="31"/>
      <c r="C107" s="31" t="s">
        <v>47</v>
      </c>
      <c r="D107" s="32"/>
      <c r="E107" s="4"/>
      <c r="F107" s="33">
        <f>[1]Source!AL43</f>
        <v>0.69</v>
      </c>
      <c r="G107" s="34" t="str">
        <f>[1]Source!DD43</f>
        <v>)*4*332</v>
      </c>
      <c r="H107" s="4">
        <f>[1]Source!AW43</f>
        <v>1</v>
      </c>
      <c r="I107" s="4">
        <f>IF([1]Source!BC43&lt;&gt; 0, [1]Source!BC43, 1)</f>
        <v>1</v>
      </c>
      <c r="J107" s="33">
        <f>[1]Source!P43</f>
        <v>65443.57</v>
      </c>
      <c r="K107" s="33"/>
      <c r="M107"/>
      <c r="N107"/>
      <c r="O107"/>
      <c r="P107"/>
      <c r="Q107"/>
    </row>
    <row r="108" spans="1:33" ht="14.25" x14ac:dyDescent="0.2">
      <c r="A108" s="31"/>
      <c r="B108" s="31"/>
      <c r="C108" s="31" t="s">
        <v>40</v>
      </c>
      <c r="D108" s="32" t="s">
        <v>39</v>
      </c>
      <c r="E108" s="4">
        <f>[1]Source!AT43</f>
        <v>70</v>
      </c>
      <c r="F108" s="33"/>
      <c r="G108" s="34"/>
      <c r="H108" s="4"/>
      <c r="I108" s="4"/>
      <c r="J108" s="33">
        <f>SUM(AC104:AC107)</f>
        <v>823261.19</v>
      </c>
      <c r="K108" s="33"/>
      <c r="M108"/>
      <c r="N108"/>
      <c r="O108"/>
      <c r="P108"/>
      <c r="Q108"/>
    </row>
    <row r="109" spans="1:33" ht="14.25" x14ac:dyDescent="0.2">
      <c r="A109" s="31"/>
      <c r="B109" s="31"/>
      <c r="C109" s="31" t="s">
        <v>41</v>
      </c>
      <c r="D109" s="32" t="s">
        <v>39</v>
      </c>
      <c r="E109" s="4">
        <f>[1]Source!AU43</f>
        <v>10</v>
      </c>
      <c r="F109" s="33"/>
      <c r="G109" s="34"/>
      <c r="H109" s="4"/>
      <c r="I109" s="4"/>
      <c r="J109" s="33">
        <f>SUM(AE104:AE108)</f>
        <v>117608.74</v>
      </c>
      <c r="K109" s="33"/>
      <c r="M109"/>
      <c r="N109"/>
      <c r="O109"/>
      <c r="P109"/>
      <c r="Q109"/>
    </row>
    <row r="110" spans="1:33" ht="14.25" x14ac:dyDescent="0.2">
      <c r="A110" s="31"/>
      <c r="B110" s="31"/>
      <c r="C110" s="31" t="s">
        <v>42</v>
      </c>
      <c r="D110" s="32" t="s">
        <v>43</v>
      </c>
      <c r="E110" s="4">
        <f>[1]Source!AQ43</f>
        <v>0.05</v>
      </c>
      <c r="F110" s="33"/>
      <c r="G110" s="34" t="str">
        <f>[1]Source!DI43</f>
        <v>)*4*332</v>
      </c>
      <c r="H110" s="4">
        <f>[1]Source!AV43</f>
        <v>1</v>
      </c>
      <c r="I110" s="4"/>
      <c r="J110" s="33"/>
      <c r="K110" s="33">
        <f>[1]Source!U43</f>
        <v>4742.2880000000005</v>
      </c>
      <c r="M110"/>
      <c r="N110"/>
      <c r="O110"/>
      <c r="P110"/>
      <c r="Q110"/>
    </row>
    <row r="111" spans="1:33" ht="15" x14ac:dyDescent="0.25">
      <c r="A111" s="35"/>
      <c r="B111" s="35"/>
      <c r="C111" s="35"/>
      <c r="D111" s="35"/>
      <c r="E111" s="35"/>
      <c r="F111" s="35"/>
      <c r="G111" s="35"/>
      <c r="H111" s="35"/>
      <c r="I111" s="36">
        <f>J106+J107+J108+J109</f>
        <v>2182400.92</v>
      </c>
      <c r="J111" s="36"/>
      <c r="K111" s="37">
        <f>IF([1]Source!I43&lt;&gt;0, ROUND(I111/[1]Source!I43, 2), 0)</f>
        <v>30557.279999999999</v>
      </c>
      <c r="M111"/>
      <c r="N111"/>
      <c r="O111"/>
      <c r="P111"/>
      <c r="Q111"/>
      <c r="AA111" s="38">
        <f>I111</f>
        <v>2182400.92</v>
      </c>
    </row>
    <row r="112" spans="1:33" x14ac:dyDescent="0.2">
      <c r="M112"/>
      <c r="N112"/>
      <c r="O112"/>
      <c r="P112"/>
      <c r="Q112"/>
    </row>
    <row r="113" spans="1:43" ht="30" x14ac:dyDescent="0.25">
      <c r="A113" s="42" t="str">
        <f>CONCATENATE("Итого по разделу: ",IF([1]Source!G45&lt;&gt;"Новый раздел", [1]Source!G45, ""))</f>
        <v>Итого по разделу: Содержание садово-парковых дорожек с мощением, рассчитанным на нагрузку 16т/ось ( S=7142,0 м2 ).</v>
      </c>
      <c r="B113" s="42"/>
      <c r="C113" s="42"/>
      <c r="D113" s="42"/>
      <c r="E113" s="42"/>
      <c r="F113" s="42"/>
      <c r="G113" s="42"/>
      <c r="H113" s="42"/>
      <c r="I113" s="43">
        <f>SUM(AA34:AA112)</f>
        <v>20313497.789999999</v>
      </c>
      <c r="J113" s="44"/>
      <c r="K113" s="45"/>
      <c r="L113" s="38">
        <f>I113</f>
        <v>20313497.789999999</v>
      </c>
      <c r="M113" s="2">
        <f>ROUND(I113*$I$4874,2)</f>
        <v>14670547.210000001</v>
      </c>
      <c r="N113" s="2">
        <f>ROUND(M113*1.2/105*100,2)</f>
        <v>16766339.67</v>
      </c>
      <c r="O113" s="2">
        <f>ROUND(N113*0.05,2)</f>
        <v>838316.98</v>
      </c>
      <c r="P113" s="2">
        <f>N113+O113</f>
        <v>17604656.649999999</v>
      </c>
      <c r="Q113" s="3">
        <v>1</v>
      </c>
      <c r="R113">
        <v>2</v>
      </c>
      <c r="S113" s="2">
        <v>3236755.34</v>
      </c>
      <c r="AQ113" s="46" t="str">
        <f>CONCATENATE("Итого по разделу: ",IF([1]Source!G45&lt;&gt;"Новый раздел", [1]Source!G45, ""))</f>
        <v>Итого по разделу: Содержание садово-парковых дорожек с мощением, рассчитанным на нагрузку 16т/ось ( S=7142,0 м2 ).</v>
      </c>
    </row>
    <row r="114" spans="1:43" x14ac:dyDescent="0.2">
      <c r="M114"/>
      <c r="N114"/>
      <c r="O114"/>
      <c r="P114"/>
      <c r="Q114"/>
    </row>
    <row r="115" spans="1:43" x14ac:dyDescent="0.2">
      <c r="M115"/>
      <c r="N115"/>
      <c r="O115"/>
      <c r="P115"/>
      <c r="Q115"/>
    </row>
    <row r="116" spans="1:43" ht="16.5" x14ac:dyDescent="0.25">
      <c r="A116" s="29" t="str">
        <f>CONCATENATE("Раздел: ",IF([1]Source!G75&lt;&gt;"Новый раздел", [1]Source!G75, ""))</f>
        <v>Раздел: Содержание  дорожек с мощением, рассчитанным на нагрузку 16т/ось ( S= 3712 м2 ) ( МКЗ )</v>
      </c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M116"/>
      <c r="N116"/>
      <c r="O116"/>
      <c r="P116"/>
      <c r="Q116"/>
    </row>
    <row r="117" spans="1:43" ht="42.75" x14ac:dyDescent="0.2">
      <c r="A117" s="31">
        <v>14</v>
      </c>
      <c r="B117" s="31" t="str">
        <f>[1]Source!F79</f>
        <v>калькуляция</v>
      </c>
      <c r="C117" s="31" t="str">
        <f>[1]Source!G79</f>
        <v>Подметание дорожек  механизированным способом ( S=3712 м2 *0,7=2598,4 м2)</v>
      </c>
      <c r="D117" s="32" t="str">
        <f>[1]Source!H79</f>
        <v>м2</v>
      </c>
      <c r="E117" s="4">
        <f>[1]Source!I79</f>
        <v>2598.4</v>
      </c>
      <c r="F117" s="33"/>
      <c r="G117" s="34"/>
      <c r="H117" s="4"/>
      <c r="I117" s="4"/>
      <c r="J117" s="33"/>
      <c r="K117" s="33"/>
      <c r="M117"/>
      <c r="N117"/>
      <c r="O117"/>
      <c r="P117"/>
      <c r="Q117"/>
      <c r="AB117">
        <f>ROUND(([1]Source!BZ79/100)*ROUND(([1]Source!AF79*[1]Source!AV79)*[1]Source!I79, 2), 2)</f>
        <v>0</v>
      </c>
      <c r="AC117">
        <f>[1]Source!X79</f>
        <v>0</v>
      </c>
      <c r="AD117">
        <f>ROUND(([1]Source!CA79/100)*ROUND(([1]Source!AF79*[1]Source!AV79)*[1]Source!I79, 2), 2)</f>
        <v>0</v>
      </c>
      <c r="AE117">
        <f>[1]Source!Y79</f>
        <v>0</v>
      </c>
      <c r="AF117">
        <f>ROUND((175/100)*ROUND(([1]Source!AE79*[1]Source!AV79)*[1]Source!I79, 2), 2)</f>
        <v>0</v>
      </c>
      <c r="AG117">
        <f>ROUND((108/100)*ROUND([1]Source!CS79*[1]Source!I79, 2), 2)</f>
        <v>0</v>
      </c>
    </row>
    <row r="118" spans="1:43" ht="14.25" x14ac:dyDescent="0.2">
      <c r="A118" s="31"/>
      <c r="B118" s="31"/>
      <c r="C118" s="31" t="s">
        <v>33</v>
      </c>
      <c r="D118" s="32"/>
      <c r="E118" s="4"/>
      <c r="F118" s="33">
        <f>[1]Source!AM79</f>
        <v>0.65</v>
      </c>
      <c r="G118" s="34" t="str">
        <f>[1]Source!DE79</f>
        <v>)*4*164</v>
      </c>
      <c r="H118" s="4">
        <f>[1]Source!AV79</f>
        <v>1</v>
      </c>
      <c r="I118" s="4">
        <f>IF([1]Source!BB79&lt;&gt; 0, [1]Source!BB79, 1)</f>
        <v>1</v>
      </c>
      <c r="J118" s="33">
        <f>[1]Source!Q79</f>
        <v>1107957.76</v>
      </c>
      <c r="K118" s="33"/>
      <c r="M118"/>
      <c r="N118"/>
      <c r="O118"/>
      <c r="P118"/>
      <c r="Q118"/>
    </row>
    <row r="119" spans="1:43" ht="15" x14ac:dyDescent="0.25">
      <c r="A119" s="35"/>
      <c r="B119" s="35"/>
      <c r="C119" s="35"/>
      <c r="D119" s="35"/>
      <c r="E119" s="35"/>
      <c r="F119" s="35"/>
      <c r="G119" s="35"/>
      <c r="H119" s="35"/>
      <c r="I119" s="36">
        <f>J118</f>
        <v>1107957.76</v>
      </c>
      <c r="J119" s="36"/>
      <c r="K119" s="37">
        <f>IF([1]Source!I79&lt;&gt;0, ROUND(I119/[1]Source!I79, 2), 0)</f>
        <v>426.4</v>
      </c>
      <c r="M119"/>
      <c r="N119"/>
      <c r="O119"/>
      <c r="P119"/>
      <c r="Q119"/>
      <c r="AA119" s="38">
        <f>I119</f>
        <v>1107957.76</v>
      </c>
    </row>
    <row r="120" spans="1:43" ht="28.5" x14ac:dyDescent="0.2">
      <c r="A120" s="31">
        <v>15</v>
      </c>
      <c r="B120" s="31" t="str">
        <f>[1]Source!F80</f>
        <v>калькуляция</v>
      </c>
      <c r="C120" s="31" t="str">
        <f>[1]Source!G80</f>
        <v>Подметание дорожек  вручную ( S=3712 м2*0,3=1113,6 м2)</v>
      </c>
      <c r="D120" s="32" t="str">
        <f>[1]Source!H80</f>
        <v>м2</v>
      </c>
      <c r="E120" s="4">
        <f>[1]Source!I80</f>
        <v>1113.5999999999999</v>
      </c>
      <c r="F120" s="33"/>
      <c r="G120" s="34"/>
      <c r="H120" s="4"/>
      <c r="I120" s="4"/>
      <c r="J120" s="33"/>
      <c r="K120" s="33"/>
      <c r="M120"/>
      <c r="N120"/>
      <c r="O120"/>
      <c r="P120"/>
      <c r="Q120"/>
      <c r="AB120">
        <f>ROUND(([1]Source!BZ80/100)*ROUND(([1]Source!AF80*[1]Source!AV80)*[1]Source!I80, 2), 2)</f>
        <v>0</v>
      </c>
      <c r="AC120">
        <f>[1]Source!X80</f>
        <v>0</v>
      </c>
      <c r="AD120">
        <f>ROUND(([1]Source!CA80/100)*ROUND(([1]Source!AF80*[1]Source!AV80)*[1]Source!I80, 2), 2)</f>
        <v>0</v>
      </c>
      <c r="AE120">
        <f>[1]Source!Y80</f>
        <v>0</v>
      </c>
      <c r="AF120">
        <f>ROUND((175/100)*ROUND(([1]Source!AE80*[1]Source!AV80)*[1]Source!I80, 2), 2)</f>
        <v>0</v>
      </c>
      <c r="AG120">
        <f>ROUND((108/100)*ROUND([1]Source!CS80*[1]Source!I80, 2), 2)</f>
        <v>0</v>
      </c>
    </row>
    <row r="121" spans="1:43" ht="14.25" x14ac:dyDescent="0.2">
      <c r="A121" s="31"/>
      <c r="B121" s="31"/>
      <c r="C121" s="31" t="s">
        <v>34</v>
      </c>
      <c r="D121" s="32"/>
      <c r="E121" s="4"/>
      <c r="F121" s="33">
        <f>[1]Source!AO80</f>
        <v>1.32</v>
      </c>
      <c r="G121" s="34" t="str">
        <f>[1]Source!DG80</f>
        <v>)*4*164</v>
      </c>
      <c r="H121" s="4">
        <f>[1]Source!AV80</f>
        <v>1</v>
      </c>
      <c r="I121" s="4">
        <f>IF([1]Source!BA80&lt;&gt; 0, [1]Source!BA80, 1)</f>
        <v>1</v>
      </c>
      <c r="J121" s="33">
        <f>[1]Source!S80</f>
        <v>964288.51</v>
      </c>
      <c r="K121" s="33"/>
      <c r="M121"/>
      <c r="N121"/>
      <c r="O121"/>
      <c r="P121"/>
      <c r="Q121"/>
    </row>
    <row r="122" spans="1:43" ht="15" x14ac:dyDescent="0.25">
      <c r="A122" s="35"/>
      <c r="B122" s="35"/>
      <c r="C122" s="35"/>
      <c r="D122" s="35"/>
      <c r="E122" s="35"/>
      <c r="F122" s="35"/>
      <c r="G122" s="35"/>
      <c r="H122" s="35"/>
      <c r="I122" s="36">
        <f>J121</f>
        <v>964288.51</v>
      </c>
      <c r="J122" s="36"/>
      <c r="K122" s="37">
        <f>IF([1]Source!I80&lt;&gt;0, ROUND(I122/[1]Source!I80, 2), 0)</f>
        <v>865.92</v>
      </c>
      <c r="M122"/>
      <c r="N122"/>
      <c r="O122"/>
      <c r="P122"/>
      <c r="Q122"/>
      <c r="AA122" s="38">
        <f>I122</f>
        <v>964288.51</v>
      </c>
    </row>
    <row r="123" spans="1:43" ht="28.5" x14ac:dyDescent="0.2">
      <c r="A123" s="31">
        <v>16</v>
      </c>
      <c r="B123" s="31" t="str">
        <f>[1]Source!F81</f>
        <v>калькуляция</v>
      </c>
      <c r="C123" s="31" t="str">
        <f>[1]Source!G81</f>
        <v>Мытье дорожек  механизированным способом( 30% от3712 м2)</v>
      </c>
      <c r="D123" s="32" t="str">
        <f>[1]Source!H81</f>
        <v>м2</v>
      </c>
      <c r="E123" s="4">
        <f>[1]Source!I81</f>
        <v>1113.5999999999999</v>
      </c>
      <c r="F123" s="33"/>
      <c r="G123" s="34"/>
      <c r="H123" s="4"/>
      <c r="I123" s="4"/>
      <c r="J123" s="33"/>
      <c r="K123" s="33"/>
      <c r="M123"/>
      <c r="N123"/>
      <c r="O123"/>
      <c r="P123"/>
      <c r="Q123"/>
      <c r="AB123">
        <f>ROUND(([1]Source!BZ81/100)*ROUND(([1]Source!AF81*[1]Source!AV81)*[1]Source!I81, 2), 2)</f>
        <v>0</v>
      </c>
      <c r="AC123">
        <f>[1]Source!X81</f>
        <v>0</v>
      </c>
      <c r="AD123">
        <f>ROUND(([1]Source!CA81/100)*ROUND(([1]Source!AF81*[1]Source!AV81)*[1]Source!I81, 2), 2)</f>
        <v>0</v>
      </c>
      <c r="AE123">
        <f>[1]Source!Y81</f>
        <v>0</v>
      </c>
      <c r="AF123">
        <f>ROUND((175/100)*ROUND(([1]Source!AE81*[1]Source!AV81)*[1]Source!I81, 2), 2)</f>
        <v>0</v>
      </c>
      <c r="AG123">
        <f>ROUND((108/100)*ROUND([1]Source!CS81*[1]Source!I81, 2), 2)</f>
        <v>0</v>
      </c>
    </row>
    <row r="124" spans="1:43" ht="14.25" x14ac:dyDescent="0.2">
      <c r="A124" s="31"/>
      <c r="B124" s="31"/>
      <c r="C124" s="31" t="s">
        <v>33</v>
      </c>
      <c r="D124" s="32"/>
      <c r="E124" s="4"/>
      <c r="F124" s="33">
        <f>[1]Source!AM81</f>
        <v>3.28</v>
      </c>
      <c r="G124" s="34" t="str">
        <f>[1]Source!DE81</f>
        <v>)*1*164</v>
      </c>
      <c r="H124" s="4">
        <f>[1]Source!AV81</f>
        <v>1</v>
      </c>
      <c r="I124" s="4">
        <f>IF([1]Source!BB81&lt;&gt; 0, [1]Source!BB81, 1)</f>
        <v>1</v>
      </c>
      <c r="J124" s="33">
        <f>[1]Source!Q81</f>
        <v>599027.71</v>
      </c>
      <c r="K124" s="33"/>
      <c r="M124"/>
      <c r="N124"/>
      <c r="O124"/>
      <c r="P124"/>
      <c r="Q124"/>
    </row>
    <row r="125" spans="1:43" ht="57" x14ac:dyDescent="0.2">
      <c r="A125" s="31" t="s">
        <v>48</v>
      </c>
      <c r="B125" s="31" t="str">
        <f>[1]Source!F82</f>
        <v>цена поставщика</v>
      </c>
      <c r="C125" s="31" t="str">
        <f>[1]Source!G82</f>
        <v>Средство для механизированной мойки дорожных покрытий в зимнее время -ПГМ Жидкий хлористый кальций</v>
      </c>
      <c r="D125" s="32" t="str">
        <f>[1]Source!H82</f>
        <v>л</v>
      </c>
      <c r="E125" s="4">
        <f>[1]Source!I82</f>
        <v>54.789119999999997</v>
      </c>
      <c r="F125" s="33">
        <f>[1]Source!AK82</f>
        <v>11.77</v>
      </c>
      <c r="G125" s="39" t="s">
        <v>36</v>
      </c>
      <c r="H125" s="4">
        <f>[1]Source!AW82</f>
        <v>1</v>
      </c>
      <c r="I125" s="4">
        <f>IF([1]Source!BC82&lt;&gt; 0, [1]Source!BC82, 1)</f>
        <v>1</v>
      </c>
      <c r="J125" s="33">
        <f>[1]Source!O82</f>
        <v>644.87</v>
      </c>
      <c r="K125" s="33"/>
      <c r="M125"/>
      <c r="N125"/>
      <c r="O125"/>
      <c r="P125"/>
      <c r="Q125"/>
      <c r="AB125">
        <f>ROUND(([1]Source!BZ82/100)*ROUND(([1]Source!AF82*[1]Source!AV82)*[1]Source!I82, 2), 2)</f>
        <v>0</v>
      </c>
      <c r="AC125">
        <f>[1]Source!X82</f>
        <v>0</v>
      </c>
      <c r="AD125">
        <f>ROUND(([1]Source!CA82/100)*ROUND(([1]Source!AF82*[1]Source!AV82)*[1]Source!I82, 2), 2)</f>
        <v>0</v>
      </c>
      <c r="AE125">
        <f>[1]Source!Y82</f>
        <v>0</v>
      </c>
      <c r="AF125">
        <f>ROUND((175/100)*ROUND(([1]Source!AE82*[1]Source!AV82)*[1]Source!I82, 2), 2)</f>
        <v>0</v>
      </c>
      <c r="AG125">
        <f>ROUND((108/100)*ROUND([1]Source!CS82*[1]Source!I82, 2), 2)</f>
        <v>0</v>
      </c>
    </row>
    <row r="126" spans="1:43" ht="15" x14ac:dyDescent="0.25">
      <c r="A126" s="35"/>
      <c r="B126" s="35"/>
      <c r="C126" s="35"/>
      <c r="D126" s="35"/>
      <c r="E126" s="35"/>
      <c r="F126" s="35"/>
      <c r="G126" s="35"/>
      <c r="H126" s="35"/>
      <c r="I126" s="36">
        <f>J124+SUM(J125:J125)</f>
        <v>599672.57999999996</v>
      </c>
      <c r="J126" s="36"/>
      <c r="K126" s="37">
        <f>IF([1]Source!I81&lt;&gt;0, ROUND(I126/[1]Source!I81, 2), 0)</f>
        <v>538.5</v>
      </c>
      <c r="M126"/>
      <c r="N126"/>
      <c r="O126"/>
      <c r="P126"/>
      <c r="Q126"/>
      <c r="AA126" s="38">
        <f>I126</f>
        <v>599672.57999999996</v>
      </c>
    </row>
    <row r="127" spans="1:43" ht="42.75" x14ac:dyDescent="0.2">
      <c r="A127" s="31">
        <v>17</v>
      </c>
      <c r="B127" s="31" t="str">
        <f>[1]Source!F83</f>
        <v>5.3-1102-12-1/1</v>
      </c>
      <c r="C127" s="31" t="str">
        <f>[1]Source!G83</f>
        <v>Уборка снега средствами малой механизации( 70% от 3712 м2 , S=3712 м2*0,7=2598,4 м2 )</v>
      </c>
      <c r="D127" s="32" t="str">
        <f>[1]Source!H83</f>
        <v>1000 м2</v>
      </c>
      <c r="E127" s="4">
        <f>[1]Source!I83</f>
        <v>2.5983999999999998</v>
      </c>
      <c r="F127" s="33"/>
      <c r="G127" s="34"/>
      <c r="H127" s="4"/>
      <c r="I127" s="4"/>
      <c r="J127" s="33"/>
      <c r="K127" s="33"/>
      <c r="M127"/>
      <c r="N127"/>
      <c r="O127"/>
      <c r="P127"/>
      <c r="Q127"/>
      <c r="AB127">
        <f>ROUND(([1]Source!BZ83/100)*ROUND(([1]Source!AF83*[1]Source!AV83)*[1]Source!I83, 2), 2)</f>
        <v>0</v>
      </c>
      <c r="AC127">
        <f>[1]Source!X83</f>
        <v>0</v>
      </c>
      <c r="AD127">
        <f>ROUND(([1]Source!CA83/100)*ROUND(([1]Source!AF83*[1]Source!AV83)*[1]Source!I83, 2), 2)</f>
        <v>0</v>
      </c>
      <c r="AE127">
        <f>[1]Source!Y83</f>
        <v>0</v>
      </c>
      <c r="AF127">
        <f>ROUND((175/100)*ROUND(([1]Source!AE83*[1]Source!AV83)*[1]Source!I83, 2), 2)</f>
        <v>721088.43</v>
      </c>
      <c r="AG127">
        <f>ROUND((108/100)*ROUND([1]Source!CS83*[1]Source!I83, 2), 2)</f>
        <v>445014.57</v>
      </c>
    </row>
    <row r="128" spans="1:43" x14ac:dyDescent="0.2">
      <c r="C128" s="40" t="str">
        <f>"Объем: "&amp;[1]Source!I83&amp;"=2598,4/"&amp;"1000"</f>
        <v>Объем: 2,5984=2598,4/1000</v>
      </c>
      <c r="M128"/>
      <c r="N128"/>
      <c r="O128"/>
      <c r="P128"/>
      <c r="Q128"/>
    </row>
    <row r="129" spans="1:33" ht="14.25" x14ac:dyDescent="0.2">
      <c r="A129" s="31"/>
      <c r="B129" s="31"/>
      <c r="C129" s="31" t="s">
        <v>33</v>
      </c>
      <c r="D129" s="32"/>
      <c r="E129" s="4"/>
      <c r="F129" s="33">
        <f>[1]Source!AM83</f>
        <v>708.24</v>
      </c>
      <c r="G129" s="34" t="str">
        <f>[1]Source!DE83</f>
        <v>)*4*168</v>
      </c>
      <c r="H129" s="4">
        <f>[1]Source!AV83</f>
        <v>1</v>
      </c>
      <c r="I129" s="4">
        <f>IF([1]Source!BB83&lt;&gt; 0, [1]Source!BB83, 1)</f>
        <v>1</v>
      </c>
      <c r="J129" s="33">
        <f>[1]Source!Q83</f>
        <v>1236675.43</v>
      </c>
      <c r="K129" s="33"/>
      <c r="M129"/>
      <c r="N129"/>
      <c r="O129"/>
      <c r="P129"/>
      <c r="Q129"/>
    </row>
    <row r="130" spans="1:33" ht="14.25" x14ac:dyDescent="0.2">
      <c r="A130" s="31"/>
      <c r="B130" s="31"/>
      <c r="C130" s="31" t="s">
        <v>37</v>
      </c>
      <c r="D130" s="32"/>
      <c r="E130" s="4"/>
      <c r="F130" s="33">
        <f>[1]Source!AN83</f>
        <v>235.98</v>
      </c>
      <c r="G130" s="34" t="str">
        <f>[1]Source!DF83</f>
        <v>)*4*168</v>
      </c>
      <c r="H130" s="4">
        <f>[1]Source!AV83</f>
        <v>1</v>
      </c>
      <c r="I130" s="4">
        <f>IF([1]Source!BS83&lt;&gt; 0, [1]Source!BS83, 1)</f>
        <v>1</v>
      </c>
      <c r="J130" s="41">
        <f>[1]Source!R83</f>
        <v>412050.53</v>
      </c>
      <c r="K130" s="33"/>
      <c r="M130"/>
      <c r="N130"/>
      <c r="O130"/>
      <c r="P130"/>
      <c r="Q130"/>
    </row>
    <row r="131" spans="1:33" ht="14.25" x14ac:dyDescent="0.2">
      <c r="A131" s="31"/>
      <c r="B131" s="31"/>
      <c r="C131" s="31" t="s">
        <v>38</v>
      </c>
      <c r="D131" s="32" t="s">
        <v>39</v>
      </c>
      <c r="E131" s="4">
        <f>108</f>
        <v>108</v>
      </c>
      <c r="F131" s="33"/>
      <c r="G131" s="34"/>
      <c r="H131" s="4"/>
      <c r="I131" s="4"/>
      <c r="J131" s="33">
        <f>SUM(AG127:AG130)</f>
        <v>445014.57</v>
      </c>
      <c r="K131" s="33"/>
      <c r="M131"/>
      <c r="N131"/>
      <c r="O131"/>
      <c r="P131"/>
      <c r="Q131"/>
    </row>
    <row r="132" spans="1:33" ht="15" x14ac:dyDescent="0.25">
      <c r="A132" s="35"/>
      <c r="B132" s="35"/>
      <c r="C132" s="35"/>
      <c r="D132" s="35"/>
      <c r="E132" s="35"/>
      <c r="F132" s="35"/>
      <c r="G132" s="35"/>
      <c r="H132" s="35"/>
      <c r="I132" s="36">
        <f>J129+J131</f>
        <v>1681690</v>
      </c>
      <c r="J132" s="36"/>
      <c r="K132" s="37">
        <f>IF([1]Source!I83&lt;&gt;0, ROUND(I132/[1]Source!I83, 2), 0)</f>
        <v>647202.12</v>
      </c>
      <c r="M132"/>
      <c r="N132"/>
      <c r="O132"/>
      <c r="P132"/>
      <c r="Q132"/>
      <c r="AA132" s="38">
        <f>I132</f>
        <v>1681690</v>
      </c>
    </row>
    <row r="133" spans="1:33" ht="42.75" x14ac:dyDescent="0.2">
      <c r="A133" s="31">
        <v>18</v>
      </c>
      <c r="B133" s="31" t="str">
        <f>[1]Source!F84</f>
        <v>5.3-1102-8-1/1</v>
      </c>
      <c r="C133" s="31" t="str">
        <f>[1]Source!G84</f>
        <v>Уборка свежевыпавшего снега вручную толщиной слоя до 10 см ( S= 3712 м2* 0,1*0,7*0,5 =129,92 м2)</v>
      </c>
      <c r="D133" s="32" t="str">
        <f>[1]Source!H84</f>
        <v>100 м2</v>
      </c>
      <c r="E133" s="4">
        <f>[1]Source!I84</f>
        <v>1.2991999999999999</v>
      </c>
      <c r="F133" s="33"/>
      <c r="G133" s="34"/>
      <c r="H133" s="4"/>
      <c r="I133" s="4"/>
      <c r="J133" s="33"/>
      <c r="K133" s="33"/>
      <c r="M133"/>
      <c r="N133"/>
      <c r="O133"/>
      <c r="P133"/>
      <c r="Q133"/>
      <c r="AB133">
        <f>ROUND(([1]Source!BZ84/100)*ROUND(([1]Source!AF84*[1]Source!AV84)*[1]Source!I84, 2), 2)</f>
        <v>98485.81</v>
      </c>
      <c r="AC133">
        <f>[1]Source!X84</f>
        <v>98485.81</v>
      </c>
      <c r="AD133">
        <f>ROUND(([1]Source!CA84/100)*ROUND(([1]Source!AF84*[1]Source!AV84)*[1]Source!I84, 2), 2)</f>
        <v>14069.4</v>
      </c>
      <c r="AE133">
        <f>[1]Source!Y84</f>
        <v>14069.4</v>
      </c>
      <c r="AF133">
        <f>ROUND((175/100)*ROUND(([1]Source!AE84*[1]Source!AV84)*[1]Source!I84, 2), 2)</f>
        <v>0</v>
      </c>
      <c r="AG133">
        <f>ROUND((108/100)*ROUND([1]Source!CS84*[1]Source!I84, 2), 2)</f>
        <v>0</v>
      </c>
    </row>
    <row r="134" spans="1:33" x14ac:dyDescent="0.2">
      <c r="C134" s="40" t="str">
        <f>"Объем: "&amp;[1]Source!I84&amp;"=129,92/"&amp;"100"</f>
        <v>Объем: 1,2992=129,92/100</v>
      </c>
      <c r="M134"/>
      <c r="N134"/>
      <c r="O134"/>
      <c r="P134"/>
      <c r="Q134"/>
    </row>
    <row r="135" spans="1:33" ht="14.25" x14ac:dyDescent="0.2">
      <c r="A135" s="31"/>
      <c r="B135" s="31"/>
      <c r="C135" s="31" t="s">
        <v>34</v>
      </c>
      <c r="D135" s="32"/>
      <c r="E135" s="4"/>
      <c r="F135" s="33">
        <f>[1]Source!AO84</f>
        <v>161.15</v>
      </c>
      <c r="G135" s="34" t="str">
        <f>[1]Source!DG84</f>
        <v>)*4*168</v>
      </c>
      <c r="H135" s="4">
        <f>[1]Source!AV84</f>
        <v>1</v>
      </c>
      <c r="I135" s="4">
        <f>IF([1]Source!BA84&lt;&gt; 0, [1]Source!BA84, 1)</f>
        <v>1</v>
      </c>
      <c r="J135" s="33">
        <f>[1]Source!S84</f>
        <v>140694.01</v>
      </c>
      <c r="K135" s="33"/>
      <c r="M135"/>
      <c r="N135"/>
      <c r="O135"/>
      <c r="P135"/>
      <c r="Q135"/>
    </row>
    <row r="136" spans="1:33" ht="14.25" x14ac:dyDescent="0.2">
      <c r="A136" s="31"/>
      <c r="B136" s="31"/>
      <c r="C136" s="31" t="s">
        <v>40</v>
      </c>
      <c r="D136" s="32" t="s">
        <v>39</v>
      </c>
      <c r="E136" s="4">
        <f>[1]Source!AT84</f>
        <v>70</v>
      </c>
      <c r="F136" s="33"/>
      <c r="G136" s="34"/>
      <c r="H136" s="4"/>
      <c r="I136" s="4"/>
      <c r="J136" s="33">
        <f>SUM(AC133:AC135)</f>
        <v>98485.81</v>
      </c>
      <c r="K136" s="33"/>
      <c r="M136"/>
      <c r="N136"/>
      <c r="O136"/>
      <c r="P136"/>
      <c r="Q136"/>
    </row>
    <row r="137" spans="1:33" ht="14.25" x14ac:dyDescent="0.2">
      <c r="A137" s="31"/>
      <c r="B137" s="31"/>
      <c r="C137" s="31" t="s">
        <v>41</v>
      </c>
      <c r="D137" s="32" t="s">
        <v>39</v>
      </c>
      <c r="E137" s="4">
        <f>[1]Source!AU84</f>
        <v>10</v>
      </c>
      <c r="F137" s="33"/>
      <c r="G137" s="34"/>
      <c r="H137" s="4"/>
      <c r="I137" s="4"/>
      <c r="J137" s="33">
        <f>SUM(AE133:AE136)</f>
        <v>14069.4</v>
      </c>
      <c r="K137" s="33"/>
      <c r="M137"/>
      <c r="N137"/>
      <c r="O137"/>
      <c r="P137"/>
      <c r="Q137"/>
    </row>
    <row r="138" spans="1:33" ht="14.25" x14ac:dyDescent="0.2">
      <c r="A138" s="31"/>
      <c r="B138" s="31"/>
      <c r="C138" s="31" t="s">
        <v>42</v>
      </c>
      <c r="D138" s="32" t="s">
        <v>43</v>
      </c>
      <c r="E138" s="4">
        <f>[1]Source!AQ84</f>
        <v>0.65</v>
      </c>
      <c r="F138" s="33"/>
      <c r="G138" s="34" t="str">
        <f>[1]Source!DI84</f>
        <v>)*4*168</v>
      </c>
      <c r="H138" s="4">
        <f>[1]Source!AV84</f>
        <v>1</v>
      </c>
      <c r="I138" s="4"/>
      <c r="J138" s="33"/>
      <c r="K138" s="33">
        <f>[1]Source!U84</f>
        <v>567.49055999999996</v>
      </c>
      <c r="M138"/>
      <c r="N138"/>
      <c r="O138"/>
      <c r="P138"/>
      <c r="Q138"/>
    </row>
    <row r="139" spans="1:33" ht="15" x14ac:dyDescent="0.25">
      <c r="A139" s="35"/>
      <c r="B139" s="35"/>
      <c r="C139" s="35"/>
      <c r="D139" s="35"/>
      <c r="E139" s="35"/>
      <c r="F139" s="35"/>
      <c r="G139" s="35"/>
      <c r="H139" s="35"/>
      <c r="I139" s="36">
        <f>J135+J136+J137</f>
        <v>253249.22</v>
      </c>
      <c r="J139" s="36"/>
      <c r="K139" s="37">
        <f>IF([1]Source!I84&lt;&gt;0, ROUND(I139/[1]Source!I84, 2), 0)</f>
        <v>194927.05</v>
      </c>
      <c r="M139"/>
      <c r="N139"/>
      <c r="O139"/>
      <c r="P139"/>
      <c r="Q139"/>
      <c r="AA139" s="38">
        <f>I139</f>
        <v>253249.22</v>
      </c>
    </row>
    <row r="140" spans="1:33" ht="28.5" x14ac:dyDescent="0.2">
      <c r="A140" s="31">
        <v>19</v>
      </c>
      <c r="B140" s="31" t="str">
        <f>[1]Source!F85</f>
        <v>5.3-1102-8-3/1</v>
      </c>
      <c r="C140" s="31" t="str">
        <f>[1]Source!G85</f>
        <v>Уборка слежавшегося снега вручную( S=3712 м2*0,1*0,7*0,5=129.92м2)</v>
      </c>
      <c r="D140" s="32" t="str">
        <f>[1]Source!H85</f>
        <v>100 м2</v>
      </c>
      <c r="E140" s="4">
        <f>[1]Source!I85</f>
        <v>1.2991999999999999</v>
      </c>
      <c r="F140" s="33"/>
      <c r="G140" s="34"/>
      <c r="H140" s="4"/>
      <c r="I140" s="4"/>
      <c r="J140" s="33"/>
      <c r="K140" s="33"/>
      <c r="M140"/>
      <c r="N140"/>
      <c r="O140"/>
      <c r="P140"/>
      <c r="Q140"/>
      <c r="AB140">
        <f>ROUND(([1]Source!BZ85/100)*ROUND(([1]Source!AF85*[1]Source!AV85)*[1]Source!I85, 2), 2)</f>
        <v>57956.28</v>
      </c>
      <c r="AC140">
        <f>[1]Source!X85</f>
        <v>57956.28</v>
      </c>
      <c r="AD140">
        <f>ROUND(([1]Source!CA85/100)*ROUND(([1]Source!AF85*[1]Source!AV85)*[1]Source!I85, 2), 2)</f>
        <v>8279.4699999999993</v>
      </c>
      <c r="AE140">
        <f>[1]Source!Y85</f>
        <v>8279.4699999999993</v>
      </c>
      <c r="AF140">
        <f>ROUND((175/100)*ROUND(([1]Source!AE85*[1]Source!AV85)*[1]Source!I85, 2), 2)</f>
        <v>0</v>
      </c>
      <c r="AG140">
        <f>ROUND((108/100)*ROUND([1]Source!CS85*[1]Source!I85, 2), 2)</f>
        <v>0</v>
      </c>
    </row>
    <row r="141" spans="1:33" x14ac:dyDescent="0.2">
      <c r="C141" s="40" t="str">
        <f>"Объем: "&amp;[1]Source!I85&amp;"=129,92/"&amp;"100"</f>
        <v>Объем: 1,2992=129,92/100</v>
      </c>
      <c r="M141"/>
      <c r="N141"/>
      <c r="O141"/>
      <c r="P141"/>
      <c r="Q141"/>
    </row>
    <row r="142" spans="1:33" ht="14.25" x14ac:dyDescent="0.2">
      <c r="A142" s="31"/>
      <c r="B142" s="31"/>
      <c r="C142" s="31" t="s">
        <v>34</v>
      </c>
      <c r="D142" s="32"/>
      <c r="E142" s="4"/>
      <c r="F142" s="33">
        <f>[1]Source!AO85</f>
        <v>379.33</v>
      </c>
      <c r="G142" s="34" t="str">
        <f>[1]Source!DG85</f>
        <v>)*1*168</v>
      </c>
      <c r="H142" s="4">
        <f>[1]Source!AV85</f>
        <v>1</v>
      </c>
      <c r="I142" s="4">
        <f>IF([1]Source!BA85&lt;&gt; 0, [1]Source!BA85, 1)</f>
        <v>1</v>
      </c>
      <c r="J142" s="33">
        <f>[1]Source!S85</f>
        <v>82794.69</v>
      </c>
      <c r="K142" s="33"/>
      <c r="M142"/>
      <c r="N142"/>
      <c r="O142"/>
      <c r="P142"/>
      <c r="Q142"/>
    </row>
    <row r="143" spans="1:33" ht="14.25" x14ac:dyDescent="0.2">
      <c r="A143" s="31"/>
      <c r="B143" s="31"/>
      <c r="C143" s="31" t="s">
        <v>40</v>
      </c>
      <c r="D143" s="32" t="s">
        <v>39</v>
      </c>
      <c r="E143" s="4">
        <f>[1]Source!AT85</f>
        <v>70</v>
      </c>
      <c r="F143" s="33"/>
      <c r="G143" s="34"/>
      <c r="H143" s="4"/>
      <c r="I143" s="4"/>
      <c r="J143" s="33">
        <f>SUM(AC140:AC142)</f>
        <v>57956.28</v>
      </c>
      <c r="K143" s="33"/>
      <c r="M143"/>
      <c r="N143"/>
      <c r="O143"/>
      <c r="P143"/>
      <c r="Q143"/>
    </row>
    <row r="144" spans="1:33" ht="14.25" x14ac:dyDescent="0.2">
      <c r="A144" s="31"/>
      <c r="B144" s="31"/>
      <c r="C144" s="31" t="s">
        <v>41</v>
      </c>
      <c r="D144" s="32" t="s">
        <v>39</v>
      </c>
      <c r="E144" s="4">
        <f>[1]Source!AU85</f>
        <v>10</v>
      </c>
      <c r="F144" s="33"/>
      <c r="G144" s="34"/>
      <c r="H144" s="4"/>
      <c r="I144" s="4"/>
      <c r="J144" s="33">
        <f>SUM(AE140:AE143)</f>
        <v>8279.4699999999993</v>
      </c>
      <c r="K144" s="33"/>
      <c r="M144"/>
      <c r="N144"/>
      <c r="O144"/>
      <c r="P144"/>
      <c r="Q144"/>
    </row>
    <row r="145" spans="1:33" ht="14.25" x14ac:dyDescent="0.2">
      <c r="A145" s="31"/>
      <c r="B145" s="31"/>
      <c r="C145" s="31" t="s">
        <v>42</v>
      </c>
      <c r="D145" s="32" t="s">
        <v>43</v>
      </c>
      <c r="E145" s="4">
        <f>[1]Source!AQ85</f>
        <v>1.53</v>
      </c>
      <c r="F145" s="33"/>
      <c r="G145" s="34" t="str">
        <f>[1]Source!DI85</f>
        <v>)*1*168</v>
      </c>
      <c r="H145" s="4">
        <f>[1]Source!AV85</f>
        <v>1</v>
      </c>
      <c r="I145" s="4"/>
      <c r="J145" s="33"/>
      <c r="K145" s="33">
        <f>[1]Source!U85</f>
        <v>333.94636800000001</v>
      </c>
      <c r="M145"/>
      <c r="N145"/>
      <c r="O145"/>
      <c r="P145"/>
      <c r="Q145"/>
    </row>
    <row r="146" spans="1:33" ht="15" x14ac:dyDescent="0.25">
      <c r="A146" s="35"/>
      <c r="B146" s="35"/>
      <c r="C146" s="35"/>
      <c r="D146" s="35"/>
      <c r="E146" s="35"/>
      <c r="F146" s="35"/>
      <c r="G146" s="35"/>
      <c r="H146" s="35"/>
      <c r="I146" s="36">
        <f>J142+J143+J144</f>
        <v>149030.44</v>
      </c>
      <c r="J146" s="36"/>
      <c r="K146" s="37">
        <f>IF([1]Source!I85&lt;&gt;0, ROUND(I146/[1]Source!I85, 2), 0)</f>
        <v>114709.39</v>
      </c>
      <c r="M146"/>
      <c r="N146"/>
      <c r="O146"/>
      <c r="P146"/>
      <c r="Q146"/>
      <c r="AA146" s="38">
        <f>I146</f>
        <v>149030.44</v>
      </c>
    </row>
    <row r="147" spans="1:33" ht="42.75" x14ac:dyDescent="0.2">
      <c r="A147" s="31">
        <v>20</v>
      </c>
      <c r="B147" s="31" t="str">
        <f>[1]Source!F86</f>
        <v>5.3-1102-8-1/1</v>
      </c>
      <c r="C147" s="31" t="str">
        <f>[1]Source!G86</f>
        <v>Уборка свежевыпавшего снега вручную толщиной слоя до 10 см ( S= 3712м2* 0,1*0,3*0,5 =55,68м2)</v>
      </c>
      <c r="D147" s="32" t="str">
        <f>[1]Source!H86</f>
        <v>100 м2</v>
      </c>
      <c r="E147" s="4">
        <f>[1]Source!I86</f>
        <v>0.55679999999999996</v>
      </c>
      <c r="F147" s="33"/>
      <c r="G147" s="34"/>
      <c r="H147" s="4"/>
      <c r="I147" s="4"/>
      <c r="J147" s="33"/>
      <c r="K147" s="33"/>
      <c r="M147"/>
      <c r="N147"/>
      <c r="O147"/>
      <c r="P147"/>
      <c r="Q147"/>
      <c r="AB147">
        <f>ROUND(([1]Source!BZ86/100)*ROUND(([1]Source!AF86*[1]Source!AV86)*[1]Source!I86, 2), 2)</f>
        <v>42208.2</v>
      </c>
      <c r="AC147">
        <f>[1]Source!X86</f>
        <v>42208.2</v>
      </c>
      <c r="AD147">
        <f>ROUND(([1]Source!CA86/100)*ROUND(([1]Source!AF86*[1]Source!AV86)*[1]Source!I86, 2), 2)</f>
        <v>6029.74</v>
      </c>
      <c r="AE147">
        <f>[1]Source!Y86</f>
        <v>6029.74</v>
      </c>
      <c r="AF147">
        <f>ROUND((175/100)*ROUND(([1]Source!AE86*[1]Source!AV86)*[1]Source!I86, 2), 2)</f>
        <v>0</v>
      </c>
      <c r="AG147">
        <f>ROUND((108/100)*ROUND([1]Source!CS86*[1]Source!I86, 2), 2)</f>
        <v>0</v>
      </c>
    </row>
    <row r="148" spans="1:33" x14ac:dyDescent="0.2">
      <c r="C148" s="40" t="str">
        <f>"Объем: "&amp;[1]Source!I86&amp;"=55,68/"&amp;"100"</f>
        <v>Объем: 0,5568=55,68/100</v>
      </c>
      <c r="M148"/>
      <c r="N148"/>
      <c r="O148"/>
      <c r="P148"/>
      <c r="Q148"/>
    </row>
    <row r="149" spans="1:33" ht="14.25" x14ac:dyDescent="0.2">
      <c r="A149" s="31"/>
      <c r="B149" s="31"/>
      <c r="C149" s="31" t="s">
        <v>34</v>
      </c>
      <c r="D149" s="32"/>
      <c r="E149" s="4"/>
      <c r="F149" s="33">
        <f>[1]Source!AO86</f>
        <v>161.15</v>
      </c>
      <c r="G149" s="34" t="str">
        <f>[1]Source!DG86</f>
        <v>)*4*168</v>
      </c>
      <c r="H149" s="4">
        <f>[1]Source!AV86</f>
        <v>1</v>
      </c>
      <c r="I149" s="4">
        <f>IF([1]Source!BA86&lt;&gt; 0, [1]Source!BA86, 1)</f>
        <v>1</v>
      </c>
      <c r="J149" s="33">
        <f>[1]Source!S86</f>
        <v>60297.43</v>
      </c>
      <c r="K149" s="33"/>
      <c r="M149"/>
      <c r="N149"/>
      <c r="O149"/>
      <c r="P149"/>
      <c r="Q149"/>
    </row>
    <row r="150" spans="1:33" ht="14.25" x14ac:dyDescent="0.2">
      <c r="A150" s="31"/>
      <c r="B150" s="31"/>
      <c r="C150" s="31" t="s">
        <v>40</v>
      </c>
      <c r="D150" s="32" t="s">
        <v>39</v>
      </c>
      <c r="E150" s="4">
        <f>[1]Source!AT86</f>
        <v>70</v>
      </c>
      <c r="F150" s="33"/>
      <c r="G150" s="34"/>
      <c r="H150" s="4"/>
      <c r="I150" s="4"/>
      <c r="J150" s="33">
        <f>SUM(AC147:AC149)</f>
        <v>42208.2</v>
      </c>
      <c r="K150" s="33"/>
      <c r="M150"/>
      <c r="N150"/>
      <c r="O150"/>
      <c r="P150"/>
      <c r="Q150"/>
    </row>
    <row r="151" spans="1:33" ht="14.25" x14ac:dyDescent="0.2">
      <c r="A151" s="31"/>
      <c r="B151" s="31"/>
      <c r="C151" s="31" t="s">
        <v>41</v>
      </c>
      <c r="D151" s="32" t="s">
        <v>39</v>
      </c>
      <c r="E151" s="4">
        <f>[1]Source!AU86</f>
        <v>10</v>
      </c>
      <c r="F151" s="33"/>
      <c r="G151" s="34"/>
      <c r="H151" s="4"/>
      <c r="I151" s="4"/>
      <c r="J151" s="33">
        <f>SUM(AE147:AE150)</f>
        <v>6029.74</v>
      </c>
      <c r="K151" s="33"/>
      <c r="M151"/>
      <c r="N151"/>
      <c r="O151"/>
      <c r="P151"/>
      <c r="Q151"/>
    </row>
    <row r="152" spans="1:33" ht="14.25" x14ac:dyDescent="0.2">
      <c r="A152" s="31"/>
      <c r="B152" s="31"/>
      <c r="C152" s="31" t="s">
        <v>42</v>
      </c>
      <c r="D152" s="32" t="s">
        <v>43</v>
      </c>
      <c r="E152" s="4">
        <f>[1]Source!AQ86</f>
        <v>0.65</v>
      </c>
      <c r="F152" s="33"/>
      <c r="G152" s="34" t="str">
        <f>[1]Source!DI86</f>
        <v>)*4*168</v>
      </c>
      <c r="H152" s="4">
        <f>[1]Source!AV86</f>
        <v>1</v>
      </c>
      <c r="I152" s="4"/>
      <c r="J152" s="33"/>
      <c r="K152" s="33">
        <f>[1]Source!U86</f>
        <v>243.21024</v>
      </c>
      <c r="M152"/>
      <c r="N152"/>
      <c r="O152"/>
      <c r="P152"/>
      <c r="Q152"/>
    </row>
    <row r="153" spans="1:33" ht="15" x14ac:dyDescent="0.25">
      <c r="A153" s="35"/>
      <c r="B153" s="35"/>
      <c r="C153" s="35"/>
      <c r="D153" s="35"/>
      <c r="E153" s="35"/>
      <c r="F153" s="35"/>
      <c r="G153" s="35"/>
      <c r="H153" s="35"/>
      <c r="I153" s="36">
        <f>J149+J150+J151</f>
        <v>108535.37000000001</v>
      </c>
      <c r="J153" s="36"/>
      <c r="K153" s="37">
        <f>IF([1]Source!I86&lt;&gt;0, ROUND(I153/[1]Source!I86, 2), 0)</f>
        <v>194927.03</v>
      </c>
      <c r="M153"/>
      <c r="N153"/>
      <c r="O153"/>
      <c r="P153"/>
      <c r="Q153"/>
      <c r="AA153" s="38">
        <f>I153</f>
        <v>108535.37000000001</v>
      </c>
    </row>
    <row r="154" spans="1:33" ht="57" x14ac:dyDescent="0.2">
      <c r="A154" s="31">
        <v>21</v>
      </c>
      <c r="B154" s="31" t="str">
        <f>[1]Source!F87</f>
        <v>5.3-1102-8-2/1</v>
      </c>
      <c r="C154" s="31" t="str">
        <f>[1]Source!G87</f>
        <v>Уборка свежевыпавшего снега вручную, добавлять на каждые следующие 10 см увеличения толщины слоя</v>
      </c>
      <c r="D154" s="32" t="str">
        <f>[1]Source!H87</f>
        <v>100 м2</v>
      </c>
      <c r="E154" s="4">
        <f>[1]Source!I87</f>
        <v>0.55679999999999996</v>
      </c>
      <c r="F154" s="33"/>
      <c r="G154" s="34"/>
      <c r="H154" s="4"/>
      <c r="I154" s="4"/>
      <c r="J154" s="33"/>
      <c r="K154" s="33"/>
      <c r="M154"/>
      <c r="N154"/>
      <c r="O154"/>
      <c r="P154"/>
      <c r="Q154"/>
      <c r="AB154">
        <f>ROUND(([1]Source!BZ87/100)*ROUND(([1]Source!AF87*[1]Source!AV87)*[1]Source!I87, 2), 2)</f>
        <v>30521.39</v>
      </c>
      <c r="AC154">
        <f>[1]Source!X87</f>
        <v>30521.39</v>
      </c>
      <c r="AD154">
        <f>ROUND(([1]Source!CA87/100)*ROUND(([1]Source!AF87*[1]Source!AV87)*[1]Source!I87, 2), 2)</f>
        <v>4360.2</v>
      </c>
      <c r="AE154">
        <f>[1]Source!Y87</f>
        <v>4360.2</v>
      </c>
      <c r="AF154">
        <f>ROUND((175/100)*ROUND(([1]Source!AE87*[1]Source!AV87)*[1]Source!I87, 2), 2)</f>
        <v>0</v>
      </c>
      <c r="AG154">
        <f>ROUND((108/100)*ROUND([1]Source!CS87*[1]Source!I87, 2), 2)</f>
        <v>0</v>
      </c>
    </row>
    <row r="155" spans="1:33" x14ac:dyDescent="0.2">
      <c r="C155" s="40" t="str">
        <f>"Объем: "&amp;[1]Source!I87&amp;"=55,68/"&amp;"100"</f>
        <v>Объем: 0,5568=55,68/100</v>
      </c>
      <c r="M155"/>
      <c r="N155"/>
      <c r="O155"/>
      <c r="P155"/>
      <c r="Q155"/>
    </row>
    <row r="156" spans="1:33" ht="14.25" x14ac:dyDescent="0.2">
      <c r="A156" s="31"/>
      <c r="B156" s="31"/>
      <c r="C156" s="31" t="s">
        <v>34</v>
      </c>
      <c r="D156" s="32"/>
      <c r="E156" s="4"/>
      <c r="F156" s="33">
        <f>[1]Source!AO87</f>
        <v>116.53</v>
      </c>
      <c r="G156" s="34" t="str">
        <f>[1]Source!DG87</f>
        <v>)*4*168</v>
      </c>
      <c r="H156" s="4">
        <f>[1]Source!AV87</f>
        <v>1</v>
      </c>
      <c r="I156" s="4">
        <f>IF([1]Source!BA87&lt;&gt; 0, [1]Source!BA87, 1)</f>
        <v>1</v>
      </c>
      <c r="J156" s="33">
        <f>[1]Source!S87</f>
        <v>43601.98</v>
      </c>
      <c r="K156" s="33"/>
      <c r="M156"/>
      <c r="N156"/>
      <c r="O156"/>
      <c r="P156"/>
      <c r="Q156"/>
    </row>
    <row r="157" spans="1:33" ht="14.25" x14ac:dyDescent="0.2">
      <c r="A157" s="31"/>
      <c r="B157" s="31"/>
      <c r="C157" s="31" t="s">
        <v>40</v>
      </c>
      <c r="D157" s="32" t="s">
        <v>39</v>
      </c>
      <c r="E157" s="4">
        <f>[1]Source!AT87</f>
        <v>70</v>
      </c>
      <c r="F157" s="33"/>
      <c r="G157" s="34"/>
      <c r="H157" s="4"/>
      <c r="I157" s="4"/>
      <c r="J157" s="33">
        <f>SUM(AC154:AC156)</f>
        <v>30521.39</v>
      </c>
      <c r="K157" s="33"/>
      <c r="M157"/>
      <c r="N157"/>
      <c r="O157"/>
      <c r="P157"/>
      <c r="Q157"/>
    </row>
    <row r="158" spans="1:33" ht="14.25" x14ac:dyDescent="0.2">
      <c r="A158" s="31"/>
      <c r="B158" s="31"/>
      <c r="C158" s="31" t="s">
        <v>41</v>
      </c>
      <c r="D158" s="32" t="s">
        <v>39</v>
      </c>
      <c r="E158" s="4">
        <f>[1]Source!AU87</f>
        <v>10</v>
      </c>
      <c r="F158" s="33"/>
      <c r="G158" s="34"/>
      <c r="H158" s="4"/>
      <c r="I158" s="4"/>
      <c r="J158" s="33">
        <f>SUM(AE154:AE157)</f>
        <v>4360.2</v>
      </c>
      <c r="K158" s="33"/>
      <c r="M158"/>
      <c r="N158"/>
      <c r="O158"/>
      <c r="P158"/>
      <c r="Q158"/>
    </row>
    <row r="159" spans="1:33" ht="14.25" x14ac:dyDescent="0.2">
      <c r="A159" s="31"/>
      <c r="B159" s="31"/>
      <c r="C159" s="31" t="s">
        <v>42</v>
      </c>
      <c r="D159" s="32" t="s">
        <v>43</v>
      </c>
      <c r="E159" s="4">
        <f>[1]Source!AQ87</f>
        <v>0.47</v>
      </c>
      <c r="F159" s="33"/>
      <c r="G159" s="34" t="str">
        <f>[1]Source!DI87</f>
        <v>)*4*168</v>
      </c>
      <c r="H159" s="4">
        <f>[1]Source!AV87</f>
        <v>1</v>
      </c>
      <c r="I159" s="4"/>
      <c r="J159" s="33"/>
      <c r="K159" s="33">
        <f>[1]Source!U87</f>
        <v>175.85971199999997</v>
      </c>
      <c r="M159"/>
      <c r="N159"/>
      <c r="O159"/>
      <c r="P159"/>
      <c r="Q159"/>
    </row>
    <row r="160" spans="1:33" ht="15" x14ac:dyDescent="0.25">
      <c r="A160" s="35"/>
      <c r="B160" s="35"/>
      <c r="C160" s="35"/>
      <c r="D160" s="35"/>
      <c r="E160" s="35"/>
      <c r="F160" s="35"/>
      <c r="G160" s="35"/>
      <c r="H160" s="35"/>
      <c r="I160" s="36">
        <f>J156+J157+J158</f>
        <v>78483.569999999992</v>
      </c>
      <c r="J160" s="36"/>
      <c r="K160" s="37">
        <f>IF([1]Source!I87&lt;&gt;0, ROUND(I160/[1]Source!I87, 2), 0)</f>
        <v>140954.69</v>
      </c>
      <c r="M160"/>
      <c r="N160"/>
      <c r="O160"/>
      <c r="P160"/>
      <c r="Q160"/>
      <c r="AA160" s="38">
        <f>I160</f>
        <v>78483.569999999992</v>
      </c>
    </row>
    <row r="161" spans="1:33" ht="57" x14ac:dyDescent="0.2">
      <c r="A161" s="31">
        <v>22</v>
      </c>
      <c r="B161" s="31" t="str">
        <f>[1]Source!F88</f>
        <v>5.3-1102-24-1/1</v>
      </c>
      <c r="C161" s="31" t="str">
        <f>[1]Source!G88</f>
        <v>Уборка свежевыпавшего снега ручной самоходной машиной - ширина захвата 120 см( 20% от 3712 м2, S= 3712 м2 *0,2= 742,4 м2 )</v>
      </c>
      <c r="D161" s="32" t="str">
        <f>[1]Source!H88</f>
        <v>100 м2</v>
      </c>
      <c r="E161" s="4">
        <f>[1]Source!I88</f>
        <v>7.4240000000000004</v>
      </c>
      <c r="F161" s="33"/>
      <c r="G161" s="34"/>
      <c r="H161" s="4"/>
      <c r="I161" s="4"/>
      <c r="J161" s="33"/>
      <c r="K161" s="33"/>
      <c r="M161"/>
      <c r="N161"/>
      <c r="O161"/>
      <c r="P161"/>
      <c r="Q161"/>
      <c r="AB161">
        <f>ROUND(([1]Source!BZ88/100)*ROUND(([1]Source!AF88*[1]Source!AV88)*[1]Source!I88, 2), 2)</f>
        <v>338957.75</v>
      </c>
      <c r="AC161">
        <f>[1]Source!X88</f>
        <v>338957.75</v>
      </c>
      <c r="AD161">
        <f>ROUND(([1]Source!CA88/100)*ROUND(([1]Source!AF88*[1]Source!AV88)*[1]Source!I88, 2), 2)</f>
        <v>48422.54</v>
      </c>
      <c r="AE161">
        <f>[1]Source!Y88</f>
        <v>48422.54</v>
      </c>
      <c r="AF161">
        <f>ROUND((175/100)*ROUND(([1]Source!AE88*[1]Source!AV88)*[1]Source!I88, 2), 2)</f>
        <v>785.75</v>
      </c>
      <c r="AG161">
        <f>ROUND((108/100)*ROUND([1]Source!CS88*[1]Source!I88, 2), 2)</f>
        <v>484.92</v>
      </c>
    </row>
    <row r="162" spans="1:33" x14ac:dyDescent="0.2">
      <c r="C162" s="40" t="str">
        <f>"Объем: "&amp;[1]Source!I88&amp;"=742,4/"&amp;"100"</f>
        <v>Объем: 7,424=742,4/100</v>
      </c>
      <c r="M162"/>
      <c r="N162"/>
      <c r="O162"/>
      <c r="P162"/>
      <c r="Q162"/>
    </row>
    <row r="163" spans="1:33" ht="14.25" x14ac:dyDescent="0.2">
      <c r="A163" s="31"/>
      <c r="B163" s="31"/>
      <c r="C163" s="31" t="s">
        <v>34</v>
      </c>
      <c r="D163" s="32"/>
      <c r="E163" s="4"/>
      <c r="F163" s="33">
        <f>[1]Source!AO88</f>
        <v>97.06</v>
      </c>
      <c r="G163" s="34" t="str">
        <f>[1]Source!DG88</f>
        <v>)*4*168</v>
      </c>
      <c r="H163" s="4">
        <f>[1]Source!AV88</f>
        <v>1</v>
      </c>
      <c r="I163" s="4">
        <f>IF([1]Source!BA88&lt;&gt; 0, [1]Source!BA88, 1)</f>
        <v>1</v>
      </c>
      <c r="J163" s="33">
        <f>[1]Source!S88</f>
        <v>484225.35</v>
      </c>
      <c r="K163" s="33"/>
      <c r="M163"/>
      <c r="N163"/>
      <c r="O163"/>
      <c r="P163"/>
      <c r="Q163"/>
    </row>
    <row r="164" spans="1:33" ht="14.25" x14ac:dyDescent="0.2">
      <c r="A164" s="31"/>
      <c r="B164" s="31"/>
      <c r="C164" s="31" t="s">
        <v>33</v>
      </c>
      <c r="D164" s="32"/>
      <c r="E164" s="4"/>
      <c r="F164" s="33">
        <f>[1]Source!AM88</f>
        <v>33.97</v>
      </c>
      <c r="G164" s="34" t="str">
        <f>[1]Source!DE88</f>
        <v>)*4*168</v>
      </c>
      <c r="H164" s="4">
        <f>[1]Source!AV88</f>
        <v>1</v>
      </c>
      <c r="I164" s="4">
        <f>IF([1]Source!BB88&lt;&gt; 0, [1]Source!BB88, 1)</f>
        <v>1</v>
      </c>
      <c r="J164" s="33">
        <f>[1]Source!Q88</f>
        <v>169473.88</v>
      </c>
      <c r="K164" s="33"/>
      <c r="M164"/>
      <c r="N164"/>
      <c r="O164"/>
      <c r="P164"/>
      <c r="Q164"/>
    </row>
    <row r="165" spans="1:33" ht="14.25" x14ac:dyDescent="0.2">
      <c r="A165" s="31"/>
      <c r="B165" s="31"/>
      <c r="C165" s="31" t="s">
        <v>37</v>
      </c>
      <c r="D165" s="32"/>
      <c r="E165" s="4"/>
      <c r="F165" s="33">
        <f>[1]Source!AN88</f>
        <v>0.09</v>
      </c>
      <c r="G165" s="34" t="str">
        <f>[1]Source!DF88</f>
        <v>)*4*168</v>
      </c>
      <c r="H165" s="4">
        <f>[1]Source!AV88</f>
        <v>1</v>
      </c>
      <c r="I165" s="4">
        <f>IF([1]Source!BS88&lt;&gt; 0, [1]Source!BS88, 1)</f>
        <v>1</v>
      </c>
      <c r="J165" s="41">
        <f>[1]Source!R88</f>
        <v>449</v>
      </c>
      <c r="K165" s="33"/>
      <c r="M165"/>
      <c r="N165"/>
      <c r="O165"/>
      <c r="P165"/>
      <c r="Q165"/>
    </row>
    <row r="166" spans="1:33" ht="14.25" x14ac:dyDescent="0.2">
      <c r="A166" s="31"/>
      <c r="B166" s="31"/>
      <c r="C166" s="31" t="s">
        <v>40</v>
      </c>
      <c r="D166" s="32" t="s">
        <v>39</v>
      </c>
      <c r="E166" s="4">
        <f>[1]Source!AT88</f>
        <v>70</v>
      </c>
      <c r="F166" s="33"/>
      <c r="G166" s="34"/>
      <c r="H166" s="4"/>
      <c r="I166" s="4"/>
      <c r="J166" s="33">
        <f>SUM(AC161:AC165)</f>
        <v>338957.75</v>
      </c>
      <c r="K166" s="33"/>
      <c r="M166"/>
      <c r="N166"/>
      <c r="O166"/>
      <c r="P166"/>
      <c r="Q166"/>
    </row>
    <row r="167" spans="1:33" ht="14.25" x14ac:dyDescent="0.2">
      <c r="A167" s="31"/>
      <c r="B167" s="31"/>
      <c r="C167" s="31" t="s">
        <v>41</v>
      </c>
      <c r="D167" s="32" t="s">
        <v>39</v>
      </c>
      <c r="E167" s="4">
        <f>[1]Source!AU88</f>
        <v>10</v>
      </c>
      <c r="F167" s="33"/>
      <c r="G167" s="34"/>
      <c r="H167" s="4"/>
      <c r="I167" s="4"/>
      <c r="J167" s="33">
        <f>SUM(AE161:AE166)</f>
        <v>48422.54</v>
      </c>
      <c r="K167" s="33"/>
      <c r="M167"/>
      <c r="N167"/>
      <c r="O167"/>
      <c r="P167"/>
      <c r="Q167"/>
    </row>
    <row r="168" spans="1:33" ht="14.25" x14ac:dyDescent="0.2">
      <c r="A168" s="31"/>
      <c r="B168" s="31"/>
      <c r="C168" s="31" t="s">
        <v>38</v>
      </c>
      <c r="D168" s="32" t="s">
        <v>39</v>
      </c>
      <c r="E168" s="4">
        <f>108</f>
        <v>108</v>
      </c>
      <c r="F168" s="33"/>
      <c r="G168" s="34"/>
      <c r="H168" s="4"/>
      <c r="I168" s="4"/>
      <c r="J168" s="33">
        <f>SUM(AG161:AG167)</f>
        <v>484.92</v>
      </c>
      <c r="K168" s="33"/>
      <c r="M168"/>
      <c r="N168"/>
      <c r="O168"/>
      <c r="P168"/>
      <c r="Q168"/>
    </row>
    <row r="169" spans="1:33" ht="14.25" x14ac:dyDescent="0.2">
      <c r="A169" s="31"/>
      <c r="B169" s="31"/>
      <c r="C169" s="31" t="s">
        <v>42</v>
      </c>
      <c r="D169" s="32" t="s">
        <v>43</v>
      </c>
      <c r="E169" s="4">
        <f>[1]Source!AQ88</f>
        <v>0.35</v>
      </c>
      <c r="F169" s="33"/>
      <c r="G169" s="34" t="str">
        <f>[1]Source!DI88</f>
        <v>)*4*168</v>
      </c>
      <c r="H169" s="4">
        <f>[1]Source!AV88</f>
        <v>1</v>
      </c>
      <c r="I169" s="4"/>
      <c r="J169" s="33"/>
      <c r="K169" s="33">
        <f>[1]Source!U88</f>
        <v>1746.1248000000001</v>
      </c>
      <c r="M169"/>
      <c r="N169"/>
      <c r="O169"/>
      <c r="P169"/>
      <c r="Q169"/>
    </row>
    <row r="170" spans="1:33" ht="15" x14ac:dyDescent="0.25">
      <c r="A170" s="35"/>
      <c r="B170" s="35"/>
      <c r="C170" s="35"/>
      <c r="D170" s="35"/>
      <c r="E170" s="35"/>
      <c r="F170" s="35"/>
      <c r="G170" s="35"/>
      <c r="H170" s="35"/>
      <c r="I170" s="36">
        <f>J163+J164+J166+J167+J168</f>
        <v>1041564.4400000001</v>
      </c>
      <c r="J170" s="36"/>
      <c r="K170" s="37">
        <f>IF([1]Source!I88&lt;&gt;0, ROUND(I170/[1]Source!I88, 2), 0)</f>
        <v>140296.93</v>
      </c>
      <c r="M170"/>
      <c r="N170"/>
      <c r="O170"/>
      <c r="P170"/>
      <c r="Q170"/>
      <c r="AA170" s="38">
        <f>I170</f>
        <v>1041564.4400000001</v>
      </c>
    </row>
    <row r="171" spans="1:33" ht="42.75" x14ac:dyDescent="0.2">
      <c r="A171" s="31">
        <v>23</v>
      </c>
      <c r="B171" s="31" t="str">
        <f>[1]Source!F89</f>
        <v>5.3-1102-9-1/1</v>
      </c>
      <c r="C171" s="31" t="str">
        <f>[1]Source!G89</f>
        <v>Колка льда на обледеневших покрытиях вручную( S=3712м2*0,1*0,3*0,5=55.68 м2)</v>
      </c>
      <c r="D171" s="32" t="str">
        <f>[1]Source!H89</f>
        <v>100 м2</v>
      </c>
      <c r="E171" s="4">
        <f>[1]Source!I89</f>
        <v>0.55679999999999996</v>
      </c>
      <c r="F171" s="33"/>
      <c r="G171" s="34"/>
      <c r="H171" s="4"/>
      <c r="I171" s="4"/>
      <c r="J171" s="33"/>
      <c r="K171" s="33"/>
      <c r="M171"/>
      <c r="N171"/>
      <c r="O171"/>
      <c r="P171"/>
      <c r="Q171"/>
      <c r="AB171">
        <f>ROUND(([1]Source!BZ89/100)*ROUND(([1]Source!AF89*[1]Source!AV89)*[1]Source!I89, 2), 2)</f>
        <v>78249.53</v>
      </c>
      <c r="AC171">
        <f>[1]Source!X89</f>
        <v>78249.53</v>
      </c>
      <c r="AD171">
        <f>ROUND(([1]Source!CA89/100)*ROUND(([1]Source!AF89*[1]Source!AV89)*[1]Source!I89, 2), 2)</f>
        <v>11178.5</v>
      </c>
      <c r="AE171">
        <f>[1]Source!Y89</f>
        <v>11178.5</v>
      </c>
      <c r="AF171">
        <f>ROUND((175/100)*ROUND(([1]Source!AE89*[1]Source!AV89)*[1]Source!I89, 2), 2)</f>
        <v>0</v>
      </c>
      <c r="AG171">
        <f>ROUND((108/100)*ROUND([1]Source!CS89*[1]Source!I89, 2), 2)</f>
        <v>0</v>
      </c>
    </row>
    <row r="172" spans="1:33" x14ac:dyDescent="0.2">
      <c r="C172" s="40" t="str">
        <f>"Объем: "&amp;[1]Source!I89&amp;"=55,68/"&amp;"100"</f>
        <v>Объем: 0,5568=55,68/100</v>
      </c>
      <c r="M172"/>
      <c r="N172"/>
      <c r="O172"/>
      <c r="P172"/>
      <c r="Q172"/>
    </row>
    <row r="173" spans="1:33" ht="14.25" x14ac:dyDescent="0.2">
      <c r="A173" s="31"/>
      <c r="B173" s="31"/>
      <c r="C173" s="31" t="s">
        <v>34</v>
      </c>
      <c r="D173" s="32"/>
      <c r="E173" s="4"/>
      <c r="F173" s="33">
        <f>[1]Source!AO89</f>
        <v>597.51</v>
      </c>
      <c r="G173" s="34" t="str">
        <f>[1]Source!DG89</f>
        <v>)*2*168</v>
      </c>
      <c r="H173" s="4">
        <f>[1]Source!AV89</f>
        <v>1</v>
      </c>
      <c r="I173" s="4">
        <f>IF([1]Source!BA89&lt;&gt; 0, [1]Source!BA89, 1)</f>
        <v>1</v>
      </c>
      <c r="J173" s="33">
        <f>[1]Source!S89</f>
        <v>111785.04</v>
      </c>
      <c r="K173" s="33"/>
      <c r="M173"/>
      <c r="N173"/>
      <c r="O173"/>
      <c r="P173"/>
      <c r="Q173"/>
    </row>
    <row r="174" spans="1:33" ht="14.25" x14ac:dyDescent="0.2">
      <c r="A174" s="31"/>
      <c r="B174" s="31"/>
      <c r="C174" s="31" t="s">
        <v>40</v>
      </c>
      <c r="D174" s="32" t="s">
        <v>39</v>
      </c>
      <c r="E174" s="4">
        <f>[1]Source!AT89</f>
        <v>70</v>
      </c>
      <c r="F174" s="33"/>
      <c r="G174" s="34"/>
      <c r="H174" s="4"/>
      <c r="I174" s="4"/>
      <c r="J174" s="33">
        <f>SUM(AC171:AC173)</f>
        <v>78249.53</v>
      </c>
      <c r="K174" s="33"/>
      <c r="M174"/>
      <c r="N174"/>
      <c r="O174"/>
      <c r="P174"/>
      <c r="Q174"/>
    </row>
    <row r="175" spans="1:33" ht="14.25" x14ac:dyDescent="0.2">
      <c r="A175" s="31"/>
      <c r="B175" s="31"/>
      <c r="C175" s="31" t="s">
        <v>41</v>
      </c>
      <c r="D175" s="32" t="s">
        <v>39</v>
      </c>
      <c r="E175" s="4">
        <f>[1]Source!AU89</f>
        <v>10</v>
      </c>
      <c r="F175" s="33"/>
      <c r="G175" s="34"/>
      <c r="H175" s="4"/>
      <c r="I175" s="4"/>
      <c r="J175" s="33">
        <f>SUM(AE171:AE174)</f>
        <v>11178.5</v>
      </c>
      <c r="K175" s="33"/>
      <c r="M175"/>
      <c r="N175"/>
      <c r="O175"/>
      <c r="P175"/>
      <c r="Q175"/>
    </row>
    <row r="176" spans="1:33" ht="14.25" x14ac:dyDescent="0.2">
      <c r="A176" s="31"/>
      <c r="B176" s="31"/>
      <c r="C176" s="31" t="s">
        <v>42</v>
      </c>
      <c r="D176" s="32" t="s">
        <v>43</v>
      </c>
      <c r="E176" s="4">
        <f>[1]Source!AQ89</f>
        <v>2.41</v>
      </c>
      <c r="F176" s="33"/>
      <c r="G176" s="34" t="str">
        <f>[1]Source!DI89</f>
        <v>)*2*168</v>
      </c>
      <c r="H176" s="4">
        <f>[1]Source!AV89</f>
        <v>1</v>
      </c>
      <c r="I176" s="4"/>
      <c r="J176" s="33"/>
      <c r="K176" s="33">
        <f>[1]Source!U89</f>
        <v>450.87436799999995</v>
      </c>
      <c r="M176"/>
      <c r="N176"/>
      <c r="O176"/>
      <c r="P176"/>
      <c r="Q176"/>
    </row>
    <row r="177" spans="1:33" ht="15" x14ac:dyDescent="0.25">
      <c r="A177" s="35"/>
      <c r="B177" s="35"/>
      <c r="C177" s="35"/>
      <c r="D177" s="35"/>
      <c r="E177" s="35"/>
      <c r="F177" s="35"/>
      <c r="G177" s="35"/>
      <c r="H177" s="35"/>
      <c r="I177" s="36">
        <f>J173+J174+J175</f>
        <v>201213.07</v>
      </c>
      <c r="J177" s="36"/>
      <c r="K177" s="37">
        <f>IF([1]Source!I89&lt;&gt;0, ROUND(I177/[1]Source!I89, 2), 0)</f>
        <v>361374.05</v>
      </c>
      <c r="M177"/>
      <c r="N177"/>
      <c r="O177"/>
      <c r="P177"/>
      <c r="Q177"/>
      <c r="AA177" s="38">
        <f>I177</f>
        <v>201213.07</v>
      </c>
    </row>
    <row r="178" spans="1:33" ht="57" x14ac:dyDescent="0.2">
      <c r="A178" s="31">
        <v>24</v>
      </c>
      <c r="B178" s="31" t="str">
        <f>[1]Source!F90</f>
        <v>калькуляция</v>
      </c>
      <c r="C178" s="31" t="str">
        <f>[1]Source!G90</f>
        <v>Посыпка  гранитной крошкой дорожных покрытий средствами малой механизации( расход крошки 100 г/м2)</v>
      </c>
      <c r="D178" s="32" t="str">
        <f>[1]Source!H90</f>
        <v>м2</v>
      </c>
      <c r="E178" s="4">
        <f>[1]Source!I90</f>
        <v>2598.4</v>
      </c>
      <c r="F178" s="33"/>
      <c r="G178" s="34"/>
      <c r="H178" s="4"/>
      <c r="I178" s="4"/>
      <c r="J178" s="33"/>
      <c r="K178" s="33"/>
      <c r="M178"/>
      <c r="N178"/>
      <c r="O178"/>
      <c r="P178"/>
      <c r="Q178"/>
      <c r="AB178">
        <f>ROUND(([1]Source!BZ90/100)*ROUND(([1]Source!AF90*[1]Source!AV90)*[1]Source!I90, 2), 2)</f>
        <v>0</v>
      </c>
      <c r="AC178">
        <f>[1]Source!X90</f>
        <v>0</v>
      </c>
      <c r="AD178">
        <f>ROUND(([1]Source!CA90/100)*ROUND(([1]Source!AF90*[1]Source!AV90)*[1]Source!I90, 2), 2)</f>
        <v>0</v>
      </c>
      <c r="AE178">
        <f>[1]Source!Y90</f>
        <v>0</v>
      </c>
      <c r="AF178">
        <f>ROUND((175/100)*ROUND(([1]Source!AE90*[1]Source!AV90)*[1]Source!I90, 2), 2)</f>
        <v>0</v>
      </c>
      <c r="AG178">
        <f>ROUND((108/100)*ROUND([1]Source!CS90*[1]Source!I90, 2), 2)</f>
        <v>0</v>
      </c>
    </row>
    <row r="179" spans="1:33" ht="14.25" x14ac:dyDescent="0.2">
      <c r="A179" s="31"/>
      <c r="B179" s="31"/>
      <c r="C179" s="31" t="s">
        <v>33</v>
      </c>
      <c r="D179" s="32"/>
      <c r="E179" s="4"/>
      <c r="F179" s="33">
        <f>[1]Source!AM90</f>
        <v>0.33</v>
      </c>
      <c r="G179" s="34" t="str">
        <f>[1]Source!DE90</f>
        <v>)*4*168</v>
      </c>
      <c r="H179" s="4">
        <f>[1]Source!AV90</f>
        <v>1</v>
      </c>
      <c r="I179" s="4">
        <f>IF([1]Source!BB90&lt;&gt; 0, [1]Source!BB90, 1)</f>
        <v>1</v>
      </c>
      <c r="J179" s="33">
        <f>[1]Source!Q90</f>
        <v>576221.18000000005</v>
      </c>
      <c r="K179" s="33"/>
      <c r="M179"/>
      <c r="N179"/>
      <c r="O179"/>
      <c r="P179"/>
      <c r="Q179"/>
    </row>
    <row r="180" spans="1:33" ht="14.25" x14ac:dyDescent="0.2">
      <c r="A180" s="31" t="s">
        <v>49</v>
      </c>
      <c r="B180" s="31" t="str">
        <f>[1]Source!F91</f>
        <v>цена поставщика</v>
      </c>
      <c r="C180" s="31" t="str">
        <f>[1]Source!G91</f>
        <v>Крошка гранитная</v>
      </c>
      <c r="D180" s="32" t="str">
        <f>[1]Source!H91</f>
        <v>кг</v>
      </c>
      <c r="E180" s="4">
        <f>[1]Source!I91</f>
        <v>174612.48000000001</v>
      </c>
      <c r="F180" s="33">
        <f>[1]Source!AK91</f>
        <v>4.43</v>
      </c>
      <c r="G180" s="39" t="s">
        <v>45</v>
      </c>
      <c r="H180" s="4">
        <f>[1]Source!AW91</f>
        <v>1</v>
      </c>
      <c r="I180" s="4">
        <f>IF([1]Source!BC91&lt;&gt; 0, [1]Source!BC91, 1)</f>
        <v>1</v>
      </c>
      <c r="J180" s="33">
        <f>[1]Source!O91</f>
        <v>773533.29</v>
      </c>
      <c r="K180" s="33"/>
      <c r="M180"/>
      <c r="N180"/>
      <c r="O180"/>
      <c r="P180"/>
      <c r="Q180"/>
      <c r="AB180">
        <f>ROUND(([1]Source!BZ91/100)*ROUND(([1]Source!AF91*[1]Source!AV91)*[1]Source!I91, 2), 2)</f>
        <v>0</v>
      </c>
      <c r="AC180">
        <f>[1]Source!X91</f>
        <v>0</v>
      </c>
      <c r="AD180">
        <f>ROUND(([1]Source!CA91/100)*ROUND(([1]Source!AF91*[1]Source!AV91)*[1]Source!I91, 2), 2)</f>
        <v>0</v>
      </c>
      <c r="AE180">
        <f>[1]Source!Y91</f>
        <v>0</v>
      </c>
      <c r="AF180">
        <f>ROUND((175/100)*ROUND(([1]Source!AE91*[1]Source!AV91)*[1]Source!I91, 2), 2)</f>
        <v>0</v>
      </c>
      <c r="AG180">
        <f>ROUND((108/100)*ROUND([1]Source!CS91*[1]Source!I91, 2), 2)</f>
        <v>0</v>
      </c>
    </row>
    <row r="181" spans="1:33" ht="15" x14ac:dyDescent="0.25">
      <c r="A181" s="35"/>
      <c r="B181" s="35"/>
      <c r="C181" s="35"/>
      <c r="D181" s="35"/>
      <c r="E181" s="35"/>
      <c r="F181" s="35"/>
      <c r="G181" s="35"/>
      <c r="H181" s="35"/>
      <c r="I181" s="36">
        <f>J179+SUM(J180:J180)</f>
        <v>1349754.4700000002</v>
      </c>
      <c r="J181" s="36"/>
      <c r="K181" s="37">
        <f>IF([1]Source!I90&lt;&gt;0, ROUND(I181/[1]Source!I90, 2), 0)</f>
        <v>519.46</v>
      </c>
      <c r="M181"/>
      <c r="N181"/>
      <c r="O181"/>
      <c r="P181"/>
      <c r="Q181"/>
      <c r="AA181" s="38">
        <f>I181</f>
        <v>1349754.4700000002</v>
      </c>
    </row>
    <row r="182" spans="1:33" ht="28.5" x14ac:dyDescent="0.2">
      <c r="A182" s="31">
        <v>25</v>
      </c>
      <c r="B182" s="31" t="str">
        <f>[1]Source!F92</f>
        <v>калькуляция</v>
      </c>
      <c r="C182" s="31" t="str">
        <f>[1]Source!G92</f>
        <v>Посыпка гранитной крошкой дорожных покрытий вручную( 100г/м2 )</v>
      </c>
      <c r="D182" s="32" t="str">
        <f>[1]Source!H92</f>
        <v>м2</v>
      </c>
      <c r="E182" s="4">
        <f>[1]Source!I92</f>
        <v>1113.5999999999999</v>
      </c>
      <c r="F182" s="33"/>
      <c r="G182" s="34"/>
      <c r="H182" s="4"/>
      <c r="I182" s="4"/>
      <c r="J182" s="33"/>
      <c r="K182" s="33"/>
      <c r="M182"/>
      <c r="N182"/>
      <c r="O182"/>
      <c r="P182"/>
      <c r="Q182"/>
      <c r="AB182">
        <f>ROUND(([1]Source!BZ92/100)*ROUND(([1]Source!AF92*[1]Source!AV92)*[1]Source!I92, 2), 2)</f>
        <v>0</v>
      </c>
      <c r="AC182">
        <f>[1]Source!X92</f>
        <v>0</v>
      </c>
      <c r="AD182">
        <f>ROUND(([1]Source!CA92/100)*ROUND(([1]Source!AF92*[1]Source!AV92)*[1]Source!I92, 2), 2)</f>
        <v>0</v>
      </c>
      <c r="AE182">
        <f>[1]Source!Y92</f>
        <v>0</v>
      </c>
      <c r="AF182">
        <f>ROUND((175/100)*ROUND(([1]Source!AE92*[1]Source!AV92)*[1]Source!I92, 2), 2)</f>
        <v>0</v>
      </c>
      <c r="AG182">
        <f>ROUND((108/100)*ROUND([1]Source!CS92*[1]Source!I92, 2), 2)</f>
        <v>0</v>
      </c>
    </row>
    <row r="183" spans="1:33" ht="14.25" x14ac:dyDescent="0.2">
      <c r="A183" s="31"/>
      <c r="B183" s="31"/>
      <c r="C183" s="31" t="s">
        <v>34</v>
      </c>
      <c r="D183" s="32"/>
      <c r="E183" s="4"/>
      <c r="F183" s="33">
        <f>[1]Source!AO92</f>
        <v>2.08</v>
      </c>
      <c r="G183" s="34" t="str">
        <f>[1]Source!DG92</f>
        <v>)*4*168</v>
      </c>
      <c r="H183" s="4">
        <f>[1]Source!AV92</f>
        <v>1</v>
      </c>
      <c r="I183" s="4">
        <f>IF([1]Source!BA92&lt;&gt; 0, [1]Source!BA92, 1)</f>
        <v>1</v>
      </c>
      <c r="J183" s="33">
        <f>[1]Source!S92</f>
        <v>1556545.54</v>
      </c>
      <c r="K183" s="33"/>
      <c r="M183"/>
      <c r="N183"/>
      <c r="O183"/>
      <c r="P183"/>
      <c r="Q183"/>
    </row>
    <row r="184" spans="1:33" ht="14.25" x14ac:dyDescent="0.2">
      <c r="A184" s="31" t="s">
        <v>50</v>
      </c>
      <c r="B184" s="31" t="str">
        <f>[1]Source!F93</f>
        <v>цена поставщика</v>
      </c>
      <c r="C184" s="31" t="str">
        <f>[1]Source!G93</f>
        <v>Крошка гранитная</v>
      </c>
      <c r="D184" s="32" t="str">
        <f>[1]Source!H93</f>
        <v>кг</v>
      </c>
      <c r="E184" s="4">
        <f>[1]Source!I93</f>
        <v>74833.919999999998</v>
      </c>
      <c r="F184" s="33">
        <f>[1]Source!AK93</f>
        <v>4.43</v>
      </c>
      <c r="G184" s="39" t="s">
        <v>45</v>
      </c>
      <c r="H184" s="4">
        <f>[1]Source!AW93</f>
        <v>1</v>
      </c>
      <c r="I184" s="4">
        <f>IF([1]Source!BC93&lt;&gt; 0, [1]Source!BC93, 1)</f>
        <v>1</v>
      </c>
      <c r="J184" s="33">
        <f>[1]Source!O93</f>
        <v>331514.27</v>
      </c>
      <c r="K184" s="33"/>
      <c r="M184"/>
      <c r="N184"/>
      <c r="O184"/>
      <c r="P184"/>
      <c r="Q184"/>
      <c r="AB184">
        <f>ROUND(([1]Source!BZ93/100)*ROUND(([1]Source!AF93*[1]Source!AV93)*[1]Source!I93, 2), 2)</f>
        <v>0</v>
      </c>
      <c r="AC184">
        <f>[1]Source!X93</f>
        <v>0</v>
      </c>
      <c r="AD184">
        <f>ROUND(([1]Source!CA93/100)*ROUND(([1]Source!AF93*[1]Source!AV93)*[1]Source!I93, 2), 2)</f>
        <v>0</v>
      </c>
      <c r="AE184">
        <f>[1]Source!Y93</f>
        <v>0</v>
      </c>
      <c r="AF184">
        <f>ROUND((175/100)*ROUND(([1]Source!AE93*[1]Source!AV93)*[1]Source!I93, 2), 2)</f>
        <v>0</v>
      </c>
      <c r="AG184">
        <f>ROUND((108/100)*ROUND([1]Source!CS93*[1]Source!I93, 2), 2)</f>
        <v>0</v>
      </c>
    </row>
    <row r="185" spans="1:33" ht="15" x14ac:dyDescent="0.25">
      <c r="A185" s="35"/>
      <c r="B185" s="35"/>
      <c r="C185" s="35"/>
      <c r="D185" s="35"/>
      <c r="E185" s="35"/>
      <c r="F185" s="35"/>
      <c r="G185" s="35"/>
      <c r="H185" s="35"/>
      <c r="I185" s="36">
        <f>J183+SUM(J184:J184)</f>
        <v>1888059.81</v>
      </c>
      <c r="J185" s="36"/>
      <c r="K185" s="37">
        <f>IF([1]Source!I92&lt;&gt;0, ROUND(I185/[1]Source!I92, 2), 0)</f>
        <v>1695.46</v>
      </c>
      <c r="M185"/>
      <c r="N185"/>
      <c r="O185"/>
      <c r="P185"/>
      <c r="Q185"/>
      <c r="AA185" s="38">
        <f>I185</f>
        <v>1888059.81</v>
      </c>
    </row>
    <row r="186" spans="1:33" ht="28.5" x14ac:dyDescent="0.2">
      <c r="A186" s="31">
        <v>26</v>
      </c>
      <c r="B186" s="31" t="str">
        <f>[1]Source!F94</f>
        <v>5.4-1201-1-1/1</v>
      </c>
      <c r="C186" s="31" t="str">
        <f>[1]Source!G94</f>
        <v>Сбор случайного мусора по территории</v>
      </c>
      <c r="D186" s="32" t="str">
        <f>[1]Source!H94</f>
        <v>100 м2</v>
      </c>
      <c r="E186" s="4">
        <f>[1]Source!I94</f>
        <v>37.119999999999997</v>
      </c>
      <c r="F186" s="33"/>
      <c r="G186" s="34"/>
      <c r="H186" s="4"/>
      <c r="I186" s="4"/>
      <c r="J186" s="33"/>
      <c r="K186" s="33"/>
      <c r="M186"/>
      <c r="N186"/>
      <c r="O186"/>
      <c r="P186"/>
      <c r="Q186"/>
      <c r="AB186">
        <f>ROUND(([1]Source!BZ94/100)*ROUND(([1]Source!AF94*[1]Source!AV94)*[1]Source!I94, 2), 2)</f>
        <v>427883.72</v>
      </c>
      <c r="AC186">
        <f>[1]Source!X94</f>
        <v>427883.72</v>
      </c>
      <c r="AD186">
        <f>ROUND(([1]Source!CA94/100)*ROUND(([1]Source!AF94*[1]Source!AV94)*[1]Source!I94, 2), 2)</f>
        <v>61126.25</v>
      </c>
      <c r="AE186">
        <f>[1]Source!Y94</f>
        <v>61126.25</v>
      </c>
      <c r="AF186">
        <f>ROUND((175/100)*ROUND(([1]Source!AE94*[1]Source!AV94)*[1]Source!I94, 2), 2)</f>
        <v>0</v>
      </c>
      <c r="AG186">
        <f>ROUND((108/100)*ROUND([1]Source!CS94*[1]Source!I94, 2), 2)</f>
        <v>0</v>
      </c>
    </row>
    <row r="187" spans="1:33" x14ac:dyDescent="0.2">
      <c r="C187" s="40" t="str">
        <f>"Объем: "&amp;[1]Source!I94&amp;"=3712/"&amp;"100"</f>
        <v>Объем: 37,12=3712/100</v>
      </c>
      <c r="M187"/>
      <c r="N187"/>
      <c r="O187"/>
      <c r="P187"/>
      <c r="Q187"/>
    </row>
    <row r="188" spans="1:33" ht="14.25" x14ac:dyDescent="0.2">
      <c r="A188" s="31"/>
      <c r="B188" s="31"/>
      <c r="C188" s="31" t="s">
        <v>34</v>
      </c>
      <c r="D188" s="32"/>
      <c r="E188" s="4"/>
      <c r="F188" s="33">
        <f>[1]Source!AO94</f>
        <v>12.4</v>
      </c>
      <c r="G188" s="34" t="str">
        <f>[1]Source!DG94</f>
        <v>)*4*332</v>
      </c>
      <c r="H188" s="4">
        <f>[1]Source!AV94</f>
        <v>1</v>
      </c>
      <c r="I188" s="4">
        <f>IF([1]Source!BA94&lt;&gt; 0, [1]Source!BA94, 1)</f>
        <v>1</v>
      </c>
      <c r="J188" s="33">
        <f>[1]Source!S94</f>
        <v>611262.46</v>
      </c>
      <c r="K188" s="33"/>
      <c r="M188"/>
      <c r="N188"/>
      <c r="O188"/>
      <c r="P188"/>
      <c r="Q188"/>
    </row>
    <row r="189" spans="1:33" ht="14.25" x14ac:dyDescent="0.2">
      <c r="A189" s="31"/>
      <c r="B189" s="31"/>
      <c r="C189" s="31" t="s">
        <v>47</v>
      </c>
      <c r="D189" s="32"/>
      <c r="E189" s="4"/>
      <c r="F189" s="33">
        <f>[1]Source!AL94</f>
        <v>0.69</v>
      </c>
      <c r="G189" s="34" t="str">
        <f>[1]Source!DD94</f>
        <v>)*4*332</v>
      </c>
      <c r="H189" s="4">
        <f>[1]Source!AW94</f>
        <v>1</v>
      </c>
      <c r="I189" s="4">
        <f>IF([1]Source!BC94&lt;&gt; 0, [1]Source!BC94, 1)</f>
        <v>1</v>
      </c>
      <c r="J189" s="33">
        <f>[1]Source!P94</f>
        <v>34013.800000000003</v>
      </c>
      <c r="K189" s="33"/>
      <c r="M189"/>
      <c r="N189"/>
      <c r="O189"/>
      <c r="P189"/>
      <c r="Q189"/>
    </row>
    <row r="190" spans="1:33" ht="14.25" x14ac:dyDescent="0.2">
      <c r="A190" s="31"/>
      <c r="B190" s="31"/>
      <c r="C190" s="31" t="s">
        <v>40</v>
      </c>
      <c r="D190" s="32" t="s">
        <v>39</v>
      </c>
      <c r="E190" s="4">
        <f>[1]Source!AT94</f>
        <v>70</v>
      </c>
      <c r="F190" s="33"/>
      <c r="G190" s="34"/>
      <c r="H190" s="4"/>
      <c r="I190" s="4"/>
      <c r="J190" s="33">
        <f>SUM(AC186:AC189)</f>
        <v>427883.72</v>
      </c>
      <c r="K190" s="33"/>
      <c r="M190"/>
      <c r="N190"/>
      <c r="O190"/>
      <c r="P190"/>
      <c r="Q190"/>
    </row>
    <row r="191" spans="1:33" ht="14.25" x14ac:dyDescent="0.2">
      <c r="A191" s="31"/>
      <c r="B191" s="31"/>
      <c r="C191" s="31" t="s">
        <v>41</v>
      </c>
      <c r="D191" s="32" t="s">
        <v>39</v>
      </c>
      <c r="E191" s="4">
        <f>[1]Source!AU94</f>
        <v>10</v>
      </c>
      <c r="F191" s="33"/>
      <c r="G191" s="34"/>
      <c r="H191" s="4"/>
      <c r="I191" s="4"/>
      <c r="J191" s="33">
        <f>SUM(AE186:AE190)</f>
        <v>61126.25</v>
      </c>
      <c r="K191" s="33"/>
      <c r="M191"/>
      <c r="N191"/>
      <c r="O191"/>
      <c r="P191"/>
      <c r="Q191"/>
    </row>
    <row r="192" spans="1:33" ht="14.25" x14ac:dyDescent="0.2">
      <c r="A192" s="31"/>
      <c r="B192" s="31"/>
      <c r="C192" s="31" t="s">
        <v>42</v>
      </c>
      <c r="D192" s="32" t="s">
        <v>43</v>
      </c>
      <c r="E192" s="4">
        <f>[1]Source!AQ94</f>
        <v>0.05</v>
      </c>
      <c r="F192" s="33"/>
      <c r="G192" s="34" t="str">
        <f>[1]Source!DI94</f>
        <v>)*4*332</v>
      </c>
      <c r="H192" s="4">
        <f>[1]Source!AV94</f>
        <v>1</v>
      </c>
      <c r="I192" s="4"/>
      <c r="J192" s="33"/>
      <c r="K192" s="33">
        <f>[1]Source!U94</f>
        <v>2464.768</v>
      </c>
      <c r="M192"/>
      <c r="N192"/>
      <c r="O192"/>
      <c r="P192"/>
      <c r="Q192"/>
    </row>
    <row r="193" spans="1:43" ht="15" x14ac:dyDescent="0.25">
      <c r="A193" s="35"/>
      <c r="B193" s="35"/>
      <c r="C193" s="35"/>
      <c r="D193" s="35"/>
      <c r="E193" s="35"/>
      <c r="F193" s="35"/>
      <c r="G193" s="35"/>
      <c r="H193" s="35"/>
      <c r="I193" s="36">
        <f>J188+J189+J190+J191</f>
        <v>1134286.23</v>
      </c>
      <c r="J193" s="36"/>
      <c r="K193" s="37">
        <f>IF([1]Source!I94&lt;&gt;0, ROUND(I193/[1]Source!I94, 2), 0)</f>
        <v>30557.279999999999</v>
      </c>
      <c r="M193"/>
      <c r="N193"/>
      <c r="O193"/>
      <c r="P193"/>
      <c r="Q193"/>
      <c r="AA193" s="38">
        <f>I193</f>
        <v>1134286.23</v>
      </c>
    </row>
    <row r="194" spans="1:43" x14ac:dyDescent="0.2">
      <c r="M194"/>
      <c r="N194"/>
      <c r="O194"/>
      <c r="P194"/>
      <c r="Q194"/>
    </row>
    <row r="195" spans="1:43" ht="30" x14ac:dyDescent="0.25">
      <c r="A195" s="42" t="str">
        <f>CONCATENATE("Итого по разделу: ",IF([1]Source!G96&lt;&gt;"Новый раздел", [1]Source!G96, ""))</f>
        <v>Итого по разделу: Содержание  дорожек с мощением, рассчитанным на нагрузку 16т/ось ( S= 3712 м2 ) ( МКЗ )</v>
      </c>
      <c r="B195" s="42"/>
      <c r="C195" s="42"/>
      <c r="D195" s="42"/>
      <c r="E195" s="42"/>
      <c r="F195" s="42"/>
      <c r="G195" s="42"/>
      <c r="H195" s="42"/>
      <c r="I195" s="43">
        <f>SUM(AA116:AA194)</f>
        <v>10557785.470000003</v>
      </c>
      <c r="J195" s="44"/>
      <c r="K195" s="47"/>
      <c r="L195" s="38">
        <f>I195</f>
        <v>10557785.470000003</v>
      </c>
      <c r="M195" s="2">
        <f>ROUND(I195*$I$4874,2)</f>
        <v>7624904.96</v>
      </c>
      <c r="N195" s="2">
        <f>ROUND(M195*1.2/105*100,2)</f>
        <v>8714177.0999999996</v>
      </c>
      <c r="O195" s="2">
        <f>ROUND(N195*0.05,2)</f>
        <v>435708.86</v>
      </c>
      <c r="P195" s="2">
        <f>N195+O195</f>
        <v>9149885.959999999</v>
      </c>
      <c r="Q195" s="3">
        <v>14</v>
      </c>
      <c r="R195">
        <v>2</v>
      </c>
      <c r="S195" s="2">
        <v>1517450.1</v>
      </c>
      <c r="AQ195" s="46" t="str">
        <f>CONCATENATE("Итого по разделу: ",IF([1]Source!G96&lt;&gt;"Новый раздел", [1]Source!G96, ""))</f>
        <v>Итого по разделу: Содержание  дорожек с мощением, рассчитанным на нагрузку 16т/ось ( S= 3712 м2 ) ( МКЗ )</v>
      </c>
    </row>
    <row r="196" spans="1:43" x14ac:dyDescent="0.2">
      <c r="M196"/>
      <c r="N196"/>
      <c r="O196"/>
      <c r="P196"/>
      <c r="Q196"/>
    </row>
    <row r="197" spans="1:43" x14ac:dyDescent="0.2">
      <c r="M197"/>
      <c r="N197"/>
      <c r="O197"/>
      <c r="P197"/>
      <c r="Q197"/>
    </row>
    <row r="198" spans="1:43" ht="16.5" x14ac:dyDescent="0.25">
      <c r="A198" s="29" t="str">
        <f>CONCATENATE("Раздел: ",IF([1]Source!G126&lt;&gt;"Новый раздел", [1]Source!G126, ""))</f>
        <v>Раздел: Содержание садово-парковых дорожек с мощением парковым, 100% пешеходным ( S= 7199 м2 ).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M198"/>
      <c r="N198"/>
      <c r="O198"/>
      <c r="P198"/>
      <c r="Q198"/>
    </row>
    <row r="199" spans="1:43" ht="42.75" x14ac:dyDescent="0.2">
      <c r="A199" s="31">
        <v>27</v>
      </c>
      <c r="B199" s="31" t="str">
        <f>[1]Source!F130</f>
        <v>калькуляция</v>
      </c>
      <c r="C199" s="31" t="str">
        <f>[1]Source!G130</f>
        <v>Подметание дорожек  механизированным способом ( S=7199 м2 *0,7=5039,3 м2)</v>
      </c>
      <c r="D199" s="32" t="str">
        <f>[1]Source!H130</f>
        <v>м2</v>
      </c>
      <c r="E199" s="4">
        <f>[1]Source!I130</f>
        <v>5039.3</v>
      </c>
      <c r="F199" s="33"/>
      <c r="G199" s="34"/>
      <c r="H199" s="4"/>
      <c r="I199" s="4"/>
      <c r="J199" s="33"/>
      <c r="K199" s="33"/>
      <c r="M199"/>
      <c r="N199"/>
      <c r="O199"/>
      <c r="P199"/>
      <c r="Q199"/>
      <c r="AB199">
        <f>ROUND(([1]Source!BZ130/100)*ROUND(([1]Source!AF130*[1]Source!AV130)*[1]Source!I130, 2), 2)</f>
        <v>0</v>
      </c>
      <c r="AC199">
        <f>[1]Source!X130</f>
        <v>0</v>
      </c>
      <c r="AD199">
        <f>ROUND(([1]Source!CA130/100)*ROUND(([1]Source!AF130*[1]Source!AV130)*[1]Source!I130, 2), 2)</f>
        <v>0</v>
      </c>
      <c r="AE199">
        <f>[1]Source!Y130</f>
        <v>0</v>
      </c>
      <c r="AF199">
        <f>ROUND((175/100)*ROUND(([1]Source!AE130*[1]Source!AV130)*[1]Source!I130, 2), 2)</f>
        <v>0</v>
      </c>
      <c r="AG199">
        <f>ROUND((108/100)*ROUND([1]Source!CS130*[1]Source!I130, 2), 2)</f>
        <v>0</v>
      </c>
    </row>
    <row r="200" spans="1:43" ht="14.25" x14ac:dyDescent="0.2">
      <c r="A200" s="31"/>
      <c r="B200" s="31"/>
      <c r="C200" s="31" t="s">
        <v>33</v>
      </c>
      <c r="D200" s="32"/>
      <c r="E200" s="4"/>
      <c r="F200" s="33">
        <f>[1]Source!AM130</f>
        <v>0.65</v>
      </c>
      <c r="G200" s="34" t="str">
        <f>[1]Source!DE130</f>
        <v>)*4*164</v>
      </c>
      <c r="H200" s="4">
        <f>[1]Source!AV130</f>
        <v>1</v>
      </c>
      <c r="I200" s="4">
        <f>IF([1]Source!BB130&lt;&gt; 0, [1]Source!BB130, 1)</f>
        <v>1</v>
      </c>
      <c r="J200" s="33">
        <f>[1]Source!Q130</f>
        <v>2148757.52</v>
      </c>
      <c r="K200" s="33"/>
      <c r="M200"/>
      <c r="N200"/>
      <c r="O200"/>
      <c r="P200"/>
      <c r="Q200"/>
    </row>
    <row r="201" spans="1:43" ht="15" x14ac:dyDescent="0.25">
      <c r="A201" s="35"/>
      <c r="B201" s="35"/>
      <c r="C201" s="35"/>
      <c r="D201" s="35"/>
      <c r="E201" s="35"/>
      <c r="F201" s="35"/>
      <c r="G201" s="35"/>
      <c r="H201" s="35"/>
      <c r="I201" s="36">
        <f>J200</f>
        <v>2148757.52</v>
      </c>
      <c r="J201" s="36"/>
      <c r="K201" s="37">
        <f>IF([1]Source!I130&lt;&gt;0, ROUND(I201/[1]Source!I130, 2), 0)</f>
        <v>426.4</v>
      </c>
      <c r="M201"/>
      <c r="N201"/>
      <c r="O201"/>
      <c r="P201"/>
      <c r="Q201"/>
      <c r="AA201" s="38">
        <f>I201</f>
        <v>2148757.52</v>
      </c>
    </row>
    <row r="202" spans="1:43" ht="28.5" x14ac:dyDescent="0.2">
      <c r="A202" s="31">
        <v>28</v>
      </c>
      <c r="B202" s="31" t="str">
        <f>[1]Source!F131</f>
        <v>калькуляция</v>
      </c>
      <c r="C202" s="31" t="str">
        <f>[1]Source!G131</f>
        <v>Подметание дорожек вручную ( S=7199 м2*0,3=2159,7 м2)</v>
      </c>
      <c r="D202" s="32" t="str">
        <f>[1]Source!H131</f>
        <v>м2</v>
      </c>
      <c r="E202" s="4">
        <f>[1]Source!I131</f>
        <v>2159.6999999999998</v>
      </c>
      <c r="F202" s="33"/>
      <c r="G202" s="34"/>
      <c r="H202" s="4"/>
      <c r="I202" s="4"/>
      <c r="J202" s="33"/>
      <c r="K202" s="33"/>
      <c r="M202"/>
      <c r="N202"/>
      <c r="O202"/>
      <c r="P202"/>
      <c r="Q202"/>
      <c r="AB202">
        <f>ROUND(([1]Source!BZ131/100)*ROUND(([1]Source!AF131*[1]Source!AV131)*[1]Source!I131, 2), 2)</f>
        <v>0</v>
      </c>
      <c r="AC202">
        <f>[1]Source!X131</f>
        <v>0</v>
      </c>
      <c r="AD202">
        <f>ROUND(([1]Source!CA131/100)*ROUND(([1]Source!AF131*[1]Source!AV131)*[1]Source!I131, 2), 2)</f>
        <v>0</v>
      </c>
      <c r="AE202">
        <f>[1]Source!Y131</f>
        <v>0</v>
      </c>
      <c r="AF202">
        <f>ROUND((175/100)*ROUND(([1]Source!AE131*[1]Source!AV131)*[1]Source!I131, 2), 2)</f>
        <v>0</v>
      </c>
      <c r="AG202">
        <f>ROUND((108/100)*ROUND([1]Source!CS131*[1]Source!I131, 2), 2)</f>
        <v>0</v>
      </c>
    </row>
    <row r="203" spans="1:43" ht="14.25" x14ac:dyDescent="0.2">
      <c r="A203" s="31"/>
      <c r="B203" s="31"/>
      <c r="C203" s="31" t="s">
        <v>34</v>
      </c>
      <c r="D203" s="32"/>
      <c r="E203" s="4"/>
      <c r="F203" s="33">
        <f>[1]Source!AO131</f>
        <v>1.32</v>
      </c>
      <c r="G203" s="34" t="str">
        <f>[1]Source!DG131</f>
        <v>)*4*164</v>
      </c>
      <c r="H203" s="4">
        <f>[1]Source!AV131</f>
        <v>1</v>
      </c>
      <c r="I203" s="4">
        <f>IF([1]Source!BA131&lt;&gt; 0, [1]Source!BA131, 1)</f>
        <v>1</v>
      </c>
      <c r="J203" s="33">
        <f>[1]Source!S131</f>
        <v>1870127.42</v>
      </c>
      <c r="K203" s="33"/>
      <c r="M203"/>
      <c r="N203"/>
      <c r="O203"/>
      <c r="P203"/>
      <c r="Q203"/>
    </row>
    <row r="204" spans="1:43" ht="15" x14ac:dyDescent="0.25">
      <c r="A204" s="35"/>
      <c r="B204" s="35"/>
      <c r="C204" s="35"/>
      <c r="D204" s="35"/>
      <c r="E204" s="35"/>
      <c r="F204" s="35"/>
      <c r="G204" s="35"/>
      <c r="H204" s="35"/>
      <c r="I204" s="36">
        <f>J203</f>
        <v>1870127.42</v>
      </c>
      <c r="J204" s="36"/>
      <c r="K204" s="37">
        <f>IF([1]Source!I131&lt;&gt;0, ROUND(I204/[1]Source!I131, 2), 0)</f>
        <v>865.92</v>
      </c>
      <c r="M204"/>
      <c r="N204"/>
      <c r="O204"/>
      <c r="P204"/>
      <c r="Q204"/>
      <c r="AA204" s="38">
        <f>I204</f>
        <v>1870127.42</v>
      </c>
    </row>
    <row r="205" spans="1:43" ht="28.5" x14ac:dyDescent="0.2">
      <c r="A205" s="31">
        <v>29</v>
      </c>
      <c r="B205" s="31" t="str">
        <f>[1]Source!F132</f>
        <v>калькуляция</v>
      </c>
      <c r="C205" s="31" t="str">
        <f>[1]Source!G132</f>
        <v>Мытье дорожек  механизированным способом( 30% от 7199 м2)</v>
      </c>
      <c r="D205" s="32" t="str">
        <f>[1]Source!H132</f>
        <v>м2</v>
      </c>
      <c r="E205" s="4">
        <f>[1]Source!I132</f>
        <v>2159.6999999999998</v>
      </c>
      <c r="F205" s="33"/>
      <c r="G205" s="34"/>
      <c r="H205" s="4"/>
      <c r="I205" s="4"/>
      <c r="J205" s="33"/>
      <c r="K205" s="33"/>
      <c r="M205"/>
      <c r="N205"/>
      <c r="O205"/>
      <c r="P205"/>
      <c r="Q205"/>
      <c r="AB205">
        <f>ROUND(([1]Source!BZ132/100)*ROUND(([1]Source!AF132*[1]Source!AV132)*[1]Source!I132, 2), 2)</f>
        <v>0</v>
      </c>
      <c r="AC205">
        <f>[1]Source!X132</f>
        <v>0</v>
      </c>
      <c r="AD205">
        <f>ROUND(([1]Source!CA132/100)*ROUND(([1]Source!AF132*[1]Source!AV132)*[1]Source!I132, 2), 2)</f>
        <v>0</v>
      </c>
      <c r="AE205">
        <f>[1]Source!Y132</f>
        <v>0</v>
      </c>
      <c r="AF205">
        <f>ROUND((175/100)*ROUND(([1]Source!AE132*[1]Source!AV132)*[1]Source!I132, 2), 2)</f>
        <v>0</v>
      </c>
      <c r="AG205">
        <f>ROUND((108/100)*ROUND([1]Source!CS132*[1]Source!I132, 2), 2)</f>
        <v>0</v>
      </c>
    </row>
    <row r="206" spans="1:43" ht="14.25" x14ac:dyDescent="0.2">
      <c r="A206" s="31"/>
      <c r="B206" s="31"/>
      <c r="C206" s="31" t="s">
        <v>33</v>
      </c>
      <c r="D206" s="32"/>
      <c r="E206" s="4"/>
      <c r="F206" s="33">
        <f>[1]Source!AM132</f>
        <v>3.28</v>
      </c>
      <c r="G206" s="34" t="str">
        <f>[1]Source!DE132</f>
        <v>)*1*164</v>
      </c>
      <c r="H206" s="4">
        <f>[1]Source!AV132</f>
        <v>1</v>
      </c>
      <c r="I206" s="4">
        <f>IF([1]Source!BB132&lt;&gt; 0, [1]Source!BB132, 1)</f>
        <v>1</v>
      </c>
      <c r="J206" s="33">
        <f>[1]Source!Q132</f>
        <v>1161745.82</v>
      </c>
      <c r="K206" s="33"/>
      <c r="M206"/>
      <c r="N206"/>
      <c r="O206"/>
      <c r="P206"/>
      <c r="Q206"/>
    </row>
    <row r="207" spans="1:43" ht="57" x14ac:dyDescent="0.2">
      <c r="A207" s="31" t="s">
        <v>51</v>
      </c>
      <c r="B207" s="31" t="str">
        <f>[1]Source!F133</f>
        <v>цена поставщика</v>
      </c>
      <c r="C207" s="31" t="str">
        <f>[1]Source!G133</f>
        <v>Средство для механизированной мойки дорожных покрытий в зимнее время -ПГМ Жидкий хлористый кальций</v>
      </c>
      <c r="D207" s="32" t="str">
        <f>[1]Source!H133</f>
        <v>л</v>
      </c>
      <c r="E207" s="4">
        <f>[1]Source!I133</f>
        <v>106.25724</v>
      </c>
      <c r="F207" s="33">
        <f>[1]Source!AK133</f>
        <v>11.77</v>
      </c>
      <c r="G207" s="39" t="s">
        <v>36</v>
      </c>
      <c r="H207" s="4">
        <f>[1]Source!AW133</f>
        <v>1</v>
      </c>
      <c r="I207" s="4">
        <f>IF([1]Source!BC133&lt;&gt; 0, [1]Source!BC133, 1)</f>
        <v>1</v>
      </c>
      <c r="J207" s="33">
        <f>[1]Source!O133</f>
        <v>1250.6500000000001</v>
      </c>
      <c r="K207" s="33"/>
      <c r="M207"/>
      <c r="N207"/>
      <c r="O207"/>
      <c r="P207"/>
      <c r="Q207"/>
      <c r="AB207">
        <f>ROUND(([1]Source!BZ133/100)*ROUND(([1]Source!AF133*[1]Source!AV133)*[1]Source!I133, 2), 2)</f>
        <v>0</v>
      </c>
      <c r="AC207">
        <f>[1]Source!X133</f>
        <v>0</v>
      </c>
      <c r="AD207">
        <f>ROUND(([1]Source!CA133/100)*ROUND(([1]Source!AF133*[1]Source!AV133)*[1]Source!I133, 2), 2)</f>
        <v>0</v>
      </c>
      <c r="AE207">
        <f>[1]Source!Y133</f>
        <v>0</v>
      </c>
      <c r="AF207">
        <f>ROUND((175/100)*ROUND(([1]Source!AE133*[1]Source!AV133)*[1]Source!I133, 2), 2)</f>
        <v>0</v>
      </c>
      <c r="AG207">
        <f>ROUND((108/100)*ROUND([1]Source!CS133*[1]Source!I133, 2), 2)</f>
        <v>0</v>
      </c>
    </row>
    <row r="208" spans="1:43" ht="15" x14ac:dyDescent="0.25">
      <c r="A208" s="35"/>
      <c r="B208" s="35"/>
      <c r="C208" s="35"/>
      <c r="D208" s="35"/>
      <c r="E208" s="35"/>
      <c r="F208" s="35"/>
      <c r="G208" s="35"/>
      <c r="H208" s="35"/>
      <c r="I208" s="36">
        <f>J206+SUM(J207:J207)</f>
        <v>1162996.47</v>
      </c>
      <c r="J208" s="36"/>
      <c r="K208" s="37">
        <f>IF([1]Source!I132&lt;&gt;0, ROUND(I208/[1]Source!I132, 2), 0)</f>
        <v>538.5</v>
      </c>
      <c r="M208"/>
      <c r="N208"/>
      <c r="O208"/>
      <c r="P208"/>
      <c r="Q208"/>
      <c r="AA208" s="38">
        <f>I208</f>
        <v>1162996.47</v>
      </c>
    </row>
    <row r="209" spans="1:33" ht="42.75" x14ac:dyDescent="0.2">
      <c r="A209" s="31">
        <v>30</v>
      </c>
      <c r="B209" s="31" t="str">
        <f>[1]Source!F134</f>
        <v>5.3-1102-12-1/1</v>
      </c>
      <c r="C209" s="31" t="str">
        <f>[1]Source!G134</f>
        <v>Уборка снега средствами малой механизации( 70% от 7199 м2 , S=7199 м2*0,7=5039,3 м2 )</v>
      </c>
      <c r="D209" s="32" t="str">
        <f>[1]Source!H134</f>
        <v>1000 м2</v>
      </c>
      <c r="E209" s="4">
        <f>[1]Source!I134</f>
        <v>5.0392999999999999</v>
      </c>
      <c r="F209" s="33"/>
      <c r="G209" s="34"/>
      <c r="H209" s="4"/>
      <c r="I209" s="4"/>
      <c r="J209" s="33"/>
      <c r="K209" s="33"/>
      <c r="M209"/>
      <c r="N209"/>
      <c r="O209"/>
      <c r="P209"/>
      <c r="Q209"/>
      <c r="AB209">
        <f>ROUND(([1]Source!BZ134/100)*ROUND(([1]Source!AF134*[1]Source!AV134)*[1]Source!I134, 2), 2)</f>
        <v>0</v>
      </c>
      <c r="AC209">
        <f>[1]Source!X134</f>
        <v>0</v>
      </c>
      <c r="AD209">
        <f>ROUND(([1]Source!CA134/100)*ROUND(([1]Source!AF134*[1]Source!AV134)*[1]Source!I134, 2), 2)</f>
        <v>0</v>
      </c>
      <c r="AE209">
        <f>[1]Source!Y134</f>
        <v>0</v>
      </c>
      <c r="AF209">
        <f>ROUND((175/100)*ROUND(([1]Source!AE134*[1]Source!AV134)*[1]Source!I134, 2), 2)</f>
        <v>1398468.65</v>
      </c>
      <c r="AG209">
        <f>ROUND((108/100)*ROUND([1]Source!CS134*[1]Source!I134, 2), 2)</f>
        <v>863054.94</v>
      </c>
    </row>
    <row r="210" spans="1:33" x14ac:dyDescent="0.2">
      <c r="C210" s="40" t="str">
        <f>"Объем: "&amp;[1]Source!I134&amp;"=5039,3/"&amp;"1000"</f>
        <v>Объем: 5,0393=5039,3/1000</v>
      </c>
      <c r="M210"/>
      <c r="N210"/>
      <c r="O210"/>
      <c r="P210"/>
      <c r="Q210"/>
    </row>
    <row r="211" spans="1:33" ht="14.25" x14ac:dyDescent="0.2">
      <c r="A211" s="31"/>
      <c r="B211" s="31"/>
      <c r="C211" s="31" t="s">
        <v>33</v>
      </c>
      <c r="D211" s="32"/>
      <c r="E211" s="4"/>
      <c r="F211" s="33">
        <f>[1]Source!AM134</f>
        <v>708.24</v>
      </c>
      <c r="G211" s="34" t="str">
        <f>[1]Source!DE134</f>
        <v>)*4*168</v>
      </c>
      <c r="H211" s="4">
        <f>[1]Source!AV134</f>
        <v>1</v>
      </c>
      <c r="I211" s="4">
        <f>IF([1]Source!BB134&lt;&gt; 0, [1]Source!BB134, 1)</f>
        <v>1</v>
      </c>
      <c r="J211" s="33">
        <f>[1]Source!Q134</f>
        <v>2398390.7400000002</v>
      </c>
      <c r="K211" s="33"/>
      <c r="M211"/>
      <c r="N211"/>
      <c r="O211"/>
      <c r="P211"/>
      <c r="Q211"/>
    </row>
    <row r="212" spans="1:33" ht="14.25" x14ac:dyDescent="0.2">
      <c r="A212" s="31"/>
      <c r="B212" s="31"/>
      <c r="C212" s="31" t="s">
        <v>37</v>
      </c>
      <c r="D212" s="32"/>
      <c r="E212" s="4"/>
      <c r="F212" s="33">
        <f>[1]Source!AN134</f>
        <v>235.98</v>
      </c>
      <c r="G212" s="34" t="str">
        <f>[1]Source!DF134</f>
        <v>)*4*168</v>
      </c>
      <c r="H212" s="4">
        <f>[1]Source!AV134</f>
        <v>1</v>
      </c>
      <c r="I212" s="4">
        <f>IF([1]Source!BS134&lt;&gt; 0, [1]Source!BS134, 1)</f>
        <v>1</v>
      </c>
      <c r="J212" s="41">
        <f>[1]Source!R134</f>
        <v>799124.94</v>
      </c>
      <c r="K212" s="33"/>
      <c r="M212"/>
      <c r="N212"/>
      <c r="O212"/>
      <c r="P212"/>
      <c r="Q212"/>
    </row>
    <row r="213" spans="1:33" ht="14.25" x14ac:dyDescent="0.2">
      <c r="A213" s="31"/>
      <c r="B213" s="31"/>
      <c r="C213" s="31" t="s">
        <v>38</v>
      </c>
      <c r="D213" s="32" t="s">
        <v>39</v>
      </c>
      <c r="E213" s="4">
        <f>108</f>
        <v>108</v>
      </c>
      <c r="F213" s="33"/>
      <c r="G213" s="34"/>
      <c r="H213" s="4"/>
      <c r="I213" s="4"/>
      <c r="J213" s="33">
        <f>SUM(AG209:AG212)</f>
        <v>863054.94</v>
      </c>
      <c r="K213" s="33"/>
      <c r="M213"/>
      <c r="N213"/>
      <c r="O213"/>
      <c r="P213"/>
      <c r="Q213"/>
    </row>
    <row r="214" spans="1:33" ht="15" x14ac:dyDescent="0.25">
      <c r="A214" s="35"/>
      <c r="B214" s="35"/>
      <c r="C214" s="35"/>
      <c r="D214" s="35"/>
      <c r="E214" s="35"/>
      <c r="F214" s="35"/>
      <c r="G214" s="35"/>
      <c r="H214" s="35"/>
      <c r="I214" s="36">
        <f>J211+J213</f>
        <v>3261445.68</v>
      </c>
      <c r="J214" s="36"/>
      <c r="K214" s="37">
        <f>IF([1]Source!I134&lt;&gt;0, ROUND(I214/[1]Source!I134, 2), 0)</f>
        <v>647202.13</v>
      </c>
      <c r="M214"/>
      <c r="N214"/>
      <c r="O214"/>
      <c r="P214"/>
      <c r="Q214"/>
      <c r="AA214" s="38">
        <f>I214</f>
        <v>3261445.68</v>
      </c>
    </row>
    <row r="215" spans="1:33" ht="42.75" x14ac:dyDescent="0.2">
      <c r="A215" s="31">
        <v>31</v>
      </c>
      <c r="B215" s="31" t="str">
        <f>[1]Source!F135</f>
        <v>5.3-1102-8-1/1</v>
      </c>
      <c r="C215" s="31" t="str">
        <f>[1]Source!G135</f>
        <v>Уборка свежевыпавшего снега вручную толщиной слоя до 10 см ( S= 7199м2* 0,1*0,7*0,5 =251,97 м2)</v>
      </c>
      <c r="D215" s="32" t="str">
        <f>[1]Source!H135</f>
        <v>100 м2</v>
      </c>
      <c r="E215" s="4">
        <f>[1]Source!I135</f>
        <v>2.5196999999999998</v>
      </c>
      <c r="F215" s="33"/>
      <c r="G215" s="34"/>
      <c r="H215" s="4"/>
      <c r="I215" s="4"/>
      <c r="J215" s="33"/>
      <c r="K215" s="33"/>
      <c r="M215"/>
      <c r="N215"/>
      <c r="O215"/>
      <c r="P215"/>
      <c r="Q215"/>
      <c r="AB215">
        <f>ROUND(([1]Source!BZ135/100)*ROUND(([1]Source!AF135*[1]Source!AV135)*[1]Source!I135, 2), 2)</f>
        <v>191005.76</v>
      </c>
      <c r="AC215">
        <f>[1]Source!X135</f>
        <v>191005.76</v>
      </c>
      <c r="AD215">
        <f>ROUND(([1]Source!CA135/100)*ROUND(([1]Source!AF135*[1]Source!AV135)*[1]Source!I135, 2), 2)</f>
        <v>27286.54</v>
      </c>
      <c r="AE215">
        <f>[1]Source!Y135</f>
        <v>27286.54</v>
      </c>
      <c r="AF215">
        <f>ROUND((175/100)*ROUND(([1]Source!AE135*[1]Source!AV135)*[1]Source!I135, 2), 2)</f>
        <v>0</v>
      </c>
      <c r="AG215">
        <f>ROUND((108/100)*ROUND([1]Source!CS135*[1]Source!I135, 2), 2)</f>
        <v>0</v>
      </c>
    </row>
    <row r="216" spans="1:33" x14ac:dyDescent="0.2">
      <c r="C216" s="40" t="str">
        <f>"Объем: "&amp;[1]Source!I135&amp;"=251,97/"&amp;"100"</f>
        <v>Объем: 2,5197=251,97/100</v>
      </c>
      <c r="M216"/>
      <c r="N216"/>
      <c r="O216"/>
      <c r="P216"/>
      <c r="Q216"/>
    </row>
    <row r="217" spans="1:33" ht="14.25" x14ac:dyDescent="0.2">
      <c r="A217" s="31"/>
      <c r="B217" s="31"/>
      <c r="C217" s="31" t="s">
        <v>34</v>
      </c>
      <c r="D217" s="32"/>
      <c r="E217" s="4"/>
      <c r="F217" s="33">
        <f>[1]Source!AO135</f>
        <v>161.15</v>
      </c>
      <c r="G217" s="34" t="str">
        <f>[1]Source!DG135</f>
        <v>)*4*168</v>
      </c>
      <c r="H217" s="4">
        <f>[1]Source!AV135</f>
        <v>1</v>
      </c>
      <c r="I217" s="4">
        <f>IF([1]Source!BA135&lt;&gt; 0, [1]Source!BA135, 1)</f>
        <v>1</v>
      </c>
      <c r="J217" s="33">
        <f>[1]Source!S135</f>
        <v>272865.37</v>
      </c>
      <c r="K217" s="33"/>
      <c r="M217"/>
      <c r="N217"/>
      <c r="O217"/>
      <c r="P217"/>
      <c r="Q217"/>
    </row>
    <row r="218" spans="1:33" ht="14.25" x14ac:dyDescent="0.2">
      <c r="A218" s="31"/>
      <c r="B218" s="31"/>
      <c r="C218" s="31" t="s">
        <v>40</v>
      </c>
      <c r="D218" s="32" t="s">
        <v>39</v>
      </c>
      <c r="E218" s="4">
        <f>[1]Source!AT135</f>
        <v>70</v>
      </c>
      <c r="F218" s="33"/>
      <c r="G218" s="34"/>
      <c r="H218" s="4"/>
      <c r="I218" s="4"/>
      <c r="J218" s="33">
        <f>SUM(AC215:AC217)</f>
        <v>191005.76</v>
      </c>
      <c r="K218" s="33"/>
      <c r="M218"/>
      <c r="N218"/>
      <c r="O218"/>
      <c r="P218"/>
      <c r="Q218"/>
    </row>
    <row r="219" spans="1:33" ht="14.25" x14ac:dyDescent="0.2">
      <c r="A219" s="31"/>
      <c r="B219" s="31"/>
      <c r="C219" s="31" t="s">
        <v>41</v>
      </c>
      <c r="D219" s="32" t="s">
        <v>39</v>
      </c>
      <c r="E219" s="4">
        <f>[1]Source!AU135</f>
        <v>10</v>
      </c>
      <c r="F219" s="33"/>
      <c r="G219" s="34"/>
      <c r="H219" s="4"/>
      <c r="I219" s="4"/>
      <c r="J219" s="33">
        <f>SUM(AE215:AE218)</f>
        <v>27286.54</v>
      </c>
      <c r="K219" s="33"/>
      <c r="M219"/>
      <c r="N219"/>
      <c r="O219"/>
      <c r="P219"/>
      <c r="Q219"/>
    </row>
    <row r="220" spans="1:33" ht="14.25" x14ac:dyDescent="0.2">
      <c r="A220" s="31"/>
      <c r="B220" s="31"/>
      <c r="C220" s="31" t="s">
        <v>42</v>
      </c>
      <c r="D220" s="32" t="s">
        <v>43</v>
      </c>
      <c r="E220" s="4">
        <f>[1]Source!AQ135</f>
        <v>0.65</v>
      </c>
      <c r="F220" s="33"/>
      <c r="G220" s="34" t="str">
        <f>[1]Source!DI135</f>
        <v>)*4*168</v>
      </c>
      <c r="H220" s="4">
        <f>[1]Source!AV135</f>
        <v>1</v>
      </c>
      <c r="I220" s="4"/>
      <c r="J220" s="33"/>
      <c r="K220" s="33">
        <f>[1]Source!U135</f>
        <v>1100.6049599999999</v>
      </c>
      <c r="M220"/>
      <c r="N220"/>
      <c r="O220"/>
      <c r="P220"/>
      <c r="Q220"/>
    </row>
    <row r="221" spans="1:33" ht="15" x14ac:dyDescent="0.25">
      <c r="A221" s="35"/>
      <c r="B221" s="35"/>
      <c r="C221" s="35"/>
      <c r="D221" s="35"/>
      <c r="E221" s="35"/>
      <c r="F221" s="35"/>
      <c r="G221" s="35"/>
      <c r="H221" s="35"/>
      <c r="I221" s="36">
        <f>J217+J218+J219</f>
        <v>491157.67</v>
      </c>
      <c r="J221" s="36"/>
      <c r="K221" s="37">
        <f>IF([1]Source!I135&lt;&gt;0, ROUND(I221/[1]Source!I135, 2), 0)</f>
        <v>194927.04</v>
      </c>
      <c r="M221"/>
      <c r="N221"/>
      <c r="O221"/>
      <c r="P221"/>
      <c r="Q221"/>
      <c r="AA221" s="38">
        <f>I221</f>
        <v>491157.67</v>
      </c>
    </row>
    <row r="222" spans="1:33" ht="28.5" x14ac:dyDescent="0.2">
      <c r="A222" s="31">
        <v>32</v>
      </c>
      <c r="B222" s="31" t="str">
        <f>[1]Source!F136</f>
        <v>5.3-1102-8-3/1</v>
      </c>
      <c r="C222" s="31" t="str">
        <f>[1]Source!G136</f>
        <v>Уборка слежавшегося снега вручную( S=7199 м2*0,1*0,7*0,5=251,97 м2)</v>
      </c>
      <c r="D222" s="32" t="str">
        <f>[1]Source!H136</f>
        <v>100 м2</v>
      </c>
      <c r="E222" s="4">
        <f>[1]Source!I136</f>
        <v>2.5196999999999998</v>
      </c>
      <c r="F222" s="33"/>
      <c r="G222" s="34"/>
      <c r="H222" s="4"/>
      <c r="I222" s="4"/>
      <c r="J222" s="33"/>
      <c r="K222" s="33"/>
      <c r="M222"/>
      <c r="N222"/>
      <c r="O222"/>
      <c r="P222"/>
      <c r="Q222"/>
      <c r="AB222">
        <f>ROUND(([1]Source!BZ136/100)*ROUND(([1]Source!AF136*[1]Source!AV136)*[1]Source!I136, 2), 2)</f>
        <v>112401.82</v>
      </c>
      <c r="AC222">
        <f>[1]Source!X136</f>
        <v>112401.82</v>
      </c>
      <c r="AD222">
        <f>ROUND(([1]Source!CA136/100)*ROUND(([1]Source!AF136*[1]Source!AV136)*[1]Source!I136, 2), 2)</f>
        <v>16057.4</v>
      </c>
      <c r="AE222">
        <f>[1]Source!Y136</f>
        <v>16057.4</v>
      </c>
      <c r="AF222">
        <f>ROUND((175/100)*ROUND(([1]Source!AE136*[1]Source!AV136)*[1]Source!I136, 2), 2)</f>
        <v>0</v>
      </c>
      <c r="AG222">
        <f>ROUND((108/100)*ROUND([1]Source!CS136*[1]Source!I136, 2), 2)</f>
        <v>0</v>
      </c>
    </row>
    <row r="223" spans="1:33" x14ac:dyDescent="0.2">
      <c r="C223" s="40" t="str">
        <f>"Объем: "&amp;[1]Source!I136&amp;"=251,97/"&amp;"100"</f>
        <v>Объем: 2,5197=251,97/100</v>
      </c>
      <c r="M223"/>
      <c r="N223"/>
      <c r="O223"/>
      <c r="P223"/>
      <c r="Q223"/>
    </row>
    <row r="224" spans="1:33" ht="14.25" x14ac:dyDescent="0.2">
      <c r="A224" s="31"/>
      <c r="B224" s="31"/>
      <c r="C224" s="31" t="s">
        <v>34</v>
      </c>
      <c r="D224" s="32"/>
      <c r="E224" s="4"/>
      <c r="F224" s="33">
        <f>[1]Source!AO136</f>
        <v>379.33</v>
      </c>
      <c r="G224" s="34" t="str">
        <f>[1]Source!DG136</f>
        <v>)*1*168</v>
      </c>
      <c r="H224" s="4">
        <f>[1]Source!AV136</f>
        <v>1</v>
      </c>
      <c r="I224" s="4">
        <f>IF([1]Source!BA136&lt;&gt; 0, [1]Source!BA136, 1)</f>
        <v>1</v>
      </c>
      <c r="J224" s="33">
        <f>[1]Source!S136</f>
        <v>160574.03</v>
      </c>
      <c r="K224" s="33"/>
      <c r="M224"/>
      <c r="N224"/>
      <c r="O224"/>
      <c r="P224"/>
      <c r="Q224"/>
    </row>
    <row r="225" spans="1:33" ht="14.25" x14ac:dyDescent="0.2">
      <c r="A225" s="31"/>
      <c r="B225" s="31"/>
      <c r="C225" s="31" t="s">
        <v>40</v>
      </c>
      <c r="D225" s="32" t="s">
        <v>39</v>
      </c>
      <c r="E225" s="4">
        <f>[1]Source!AT136</f>
        <v>70</v>
      </c>
      <c r="F225" s="33"/>
      <c r="G225" s="34"/>
      <c r="H225" s="4"/>
      <c r="I225" s="4"/>
      <c r="J225" s="33">
        <f>SUM(AC222:AC224)</f>
        <v>112401.82</v>
      </c>
      <c r="K225" s="33"/>
      <c r="M225"/>
      <c r="N225"/>
      <c r="O225"/>
      <c r="P225"/>
      <c r="Q225"/>
    </row>
    <row r="226" spans="1:33" ht="14.25" x14ac:dyDescent="0.2">
      <c r="A226" s="31"/>
      <c r="B226" s="31"/>
      <c r="C226" s="31" t="s">
        <v>41</v>
      </c>
      <c r="D226" s="32" t="s">
        <v>39</v>
      </c>
      <c r="E226" s="4">
        <f>[1]Source!AU136</f>
        <v>10</v>
      </c>
      <c r="F226" s="33"/>
      <c r="G226" s="34"/>
      <c r="H226" s="4"/>
      <c r="I226" s="4"/>
      <c r="J226" s="33">
        <f>SUM(AE222:AE225)</f>
        <v>16057.4</v>
      </c>
      <c r="K226" s="33"/>
      <c r="M226"/>
      <c r="N226"/>
      <c r="O226"/>
      <c r="P226"/>
      <c r="Q226"/>
    </row>
    <row r="227" spans="1:33" ht="14.25" x14ac:dyDescent="0.2">
      <c r="A227" s="31"/>
      <c r="B227" s="31"/>
      <c r="C227" s="31" t="s">
        <v>42</v>
      </c>
      <c r="D227" s="32" t="s">
        <v>43</v>
      </c>
      <c r="E227" s="4">
        <f>[1]Source!AQ136</f>
        <v>1.53</v>
      </c>
      <c r="F227" s="33"/>
      <c r="G227" s="34" t="str">
        <f>[1]Source!DI136</f>
        <v>)*1*168</v>
      </c>
      <c r="H227" s="4">
        <f>[1]Source!AV136</f>
        <v>1</v>
      </c>
      <c r="I227" s="4"/>
      <c r="J227" s="33"/>
      <c r="K227" s="33">
        <f>[1]Source!U136</f>
        <v>647.66368799999998</v>
      </c>
      <c r="M227"/>
      <c r="N227"/>
      <c r="O227"/>
      <c r="P227"/>
      <c r="Q227"/>
    </row>
    <row r="228" spans="1:33" ht="15" x14ac:dyDescent="0.25">
      <c r="A228" s="35"/>
      <c r="B228" s="35"/>
      <c r="C228" s="35"/>
      <c r="D228" s="35"/>
      <c r="E228" s="35"/>
      <c r="F228" s="35"/>
      <c r="G228" s="35"/>
      <c r="H228" s="35"/>
      <c r="I228" s="36">
        <f>J224+J225+J226</f>
        <v>289033.25</v>
      </c>
      <c r="J228" s="36"/>
      <c r="K228" s="37">
        <f>IF([1]Source!I136&lt;&gt;0, ROUND(I228/[1]Source!I136, 2), 0)</f>
        <v>114709.39</v>
      </c>
      <c r="M228"/>
      <c r="N228"/>
      <c r="O228"/>
      <c r="P228"/>
      <c r="Q228"/>
      <c r="AA228" s="38">
        <f>I228</f>
        <v>289033.25</v>
      </c>
    </row>
    <row r="229" spans="1:33" ht="42.75" x14ac:dyDescent="0.2">
      <c r="A229" s="31">
        <v>33</v>
      </c>
      <c r="B229" s="31" t="str">
        <f>[1]Source!F137</f>
        <v>5.3-1102-8-1/1</v>
      </c>
      <c r="C229" s="31" t="str">
        <f>[1]Source!G137</f>
        <v>Уборка свежевыпавшего снега вручную толщиной слоя до 10 см ( S= 7199м2* 0,1*0,3 *0,5= 107,98м2)</v>
      </c>
      <c r="D229" s="32" t="str">
        <f>[1]Source!H137</f>
        <v>100 м2</v>
      </c>
      <c r="E229" s="4">
        <f>[1]Source!I137</f>
        <v>1.0798000000000001</v>
      </c>
      <c r="F229" s="33"/>
      <c r="G229" s="34"/>
      <c r="H229" s="4"/>
      <c r="I229" s="4"/>
      <c r="J229" s="33"/>
      <c r="K229" s="33"/>
      <c r="M229"/>
      <c r="N229"/>
      <c r="O229"/>
      <c r="P229"/>
      <c r="Q229"/>
      <c r="AB229">
        <f>ROUND(([1]Source!BZ137/100)*ROUND(([1]Source!AF137*[1]Source!AV137)*[1]Source!I137, 2), 2)</f>
        <v>81854.2</v>
      </c>
      <c r="AC229">
        <f>[1]Source!X137</f>
        <v>81854.2</v>
      </c>
      <c r="AD229">
        <f>ROUND(([1]Source!CA137/100)*ROUND(([1]Source!AF137*[1]Source!AV137)*[1]Source!I137, 2), 2)</f>
        <v>11693.46</v>
      </c>
      <c r="AE229">
        <f>[1]Source!Y137</f>
        <v>11693.46</v>
      </c>
      <c r="AF229">
        <f>ROUND((175/100)*ROUND(([1]Source!AE137*[1]Source!AV137)*[1]Source!I137, 2), 2)</f>
        <v>0</v>
      </c>
      <c r="AG229">
        <f>ROUND((108/100)*ROUND([1]Source!CS137*[1]Source!I137, 2), 2)</f>
        <v>0</v>
      </c>
    </row>
    <row r="230" spans="1:33" x14ac:dyDescent="0.2">
      <c r="C230" s="40" t="str">
        <f>"Объем: "&amp;[1]Source!I137&amp;"=107,98/"&amp;"100"</f>
        <v>Объем: 1,0798=107,98/100</v>
      </c>
      <c r="M230"/>
      <c r="N230"/>
      <c r="O230"/>
      <c r="P230"/>
      <c r="Q230"/>
    </row>
    <row r="231" spans="1:33" ht="14.25" x14ac:dyDescent="0.2">
      <c r="A231" s="31"/>
      <c r="B231" s="31"/>
      <c r="C231" s="31" t="s">
        <v>34</v>
      </c>
      <c r="D231" s="32"/>
      <c r="E231" s="4"/>
      <c r="F231" s="33">
        <f>[1]Source!AO137</f>
        <v>161.15</v>
      </c>
      <c r="G231" s="34" t="str">
        <f>[1]Source!DG137</f>
        <v>)*4*168</v>
      </c>
      <c r="H231" s="4">
        <f>[1]Source!AV137</f>
        <v>1</v>
      </c>
      <c r="I231" s="4">
        <f>IF([1]Source!BA137&lt;&gt; 0, [1]Source!BA137, 1)</f>
        <v>1</v>
      </c>
      <c r="J231" s="33">
        <f>[1]Source!S137</f>
        <v>116934.57</v>
      </c>
      <c r="K231" s="33"/>
      <c r="M231"/>
      <c r="N231"/>
      <c r="O231"/>
      <c r="P231"/>
      <c r="Q231"/>
    </row>
    <row r="232" spans="1:33" ht="14.25" x14ac:dyDescent="0.2">
      <c r="A232" s="31"/>
      <c r="B232" s="31"/>
      <c r="C232" s="31" t="s">
        <v>40</v>
      </c>
      <c r="D232" s="32" t="s">
        <v>39</v>
      </c>
      <c r="E232" s="4">
        <f>[1]Source!AT137</f>
        <v>70</v>
      </c>
      <c r="F232" s="33"/>
      <c r="G232" s="34"/>
      <c r="H232" s="4"/>
      <c r="I232" s="4"/>
      <c r="J232" s="33">
        <f>SUM(AC229:AC231)</f>
        <v>81854.2</v>
      </c>
      <c r="K232" s="33"/>
      <c r="M232"/>
      <c r="N232"/>
      <c r="O232"/>
      <c r="P232"/>
      <c r="Q232"/>
    </row>
    <row r="233" spans="1:33" ht="14.25" x14ac:dyDescent="0.2">
      <c r="A233" s="31"/>
      <c r="B233" s="31"/>
      <c r="C233" s="31" t="s">
        <v>41</v>
      </c>
      <c r="D233" s="32" t="s">
        <v>39</v>
      </c>
      <c r="E233" s="4">
        <f>[1]Source!AU137</f>
        <v>10</v>
      </c>
      <c r="F233" s="33"/>
      <c r="G233" s="34"/>
      <c r="H233" s="4"/>
      <c r="I233" s="4"/>
      <c r="J233" s="33">
        <f>SUM(AE229:AE232)</f>
        <v>11693.46</v>
      </c>
      <c r="K233" s="33"/>
      <c r="M233"/>
      <c r="N233"/>
      <c r="O233"/>
      <c r="P233"/>
      <c r="Q233"/>
    </row>
    <row r="234" spans="1:33" ht="14.25" x14ac:dyDescent="0.2">
      <c r="A234" s="31"/>
      <c r="B234" s="31"/>
      <c r="C234" s="31" t="s">
        <v>42</v>
      </c>
      <c r="D234" s="32" t="s">
        <v>43</v>
      </c>
      <c r="E234" s="4">
        <f>[1]Source!AQ137</f>
        <v>0.65</v>
      </c>
      <c r="F234" s="33"/>
      <c r="G234" s="34" t="str">
        <f>[1]Source!DI137</f>
        <v>)*4*168</v>
      </c>
      <c r="H234" s="4">
        <f>[1]Source!AV137</f>
        <v>1</v>
      </c>
      <c r="I234" s="4"/>
      <c r="J234" s="33"/>
      <c r="K234" s="33">
        <f>[1]Source!U137</f>
        <v>471.65664000000004</v>
      </c>
      <c r="M234"/>
      <c r="N234"/>
      <c r="O234"/>
      <c r="P234"/>
      <c r="Q234"/>
    </row>
    <row r="235" spans="1:33" ht="15" x14ac:dyDescent="0.25">
      <c r="A235" s="35"/>
      <c r="B235" s="35"/>
      <c r="C235" s="35"/>
      <c r="D235" s="35"/>
      <c r="E235" s="35"/>
      <c r="F235" s="35"/>
      <c r="G235" s="35"/>
      <c r="H235" s="35"/>
      <c r="I235" s="36">
        <f>J231+J232+J233</f>
        <v>210482.23</v>
      </c>
      <c r="J235" s="36"/>
      <c r="K235" s="37">
        <f>IF([1]Source!I137&lt;&gt;0, ROUND(I235/[1]Source!I137, 2), 0)</f>
        <v>194927.05</v>
      </c>
      <c r="M235"/>
      <c r="N235"/>
      <c r="O235"/>
      <c r="P235"/>
      <c r="Q235"/>
      <c r="AA235" s="38">
        <f>I235</f>
        <v>210482.23</v>
      </c>
    </row>
    <row r="236" spans="1:33" ht="57" x14ac:dyDescent="0.2">
      <c r="A236" s="31">
        <v>34</v>
      </c>
      <c r="B236" s="31" t="str">
        <f>[1]Source!F138</f>
        <v>5.3-1102-8-2/1</v>
      </c>
      <c r="C236" s="31" t="str">
        <f>[1]Source!G138</f>
        <v>Уборка свежевыпавшего снега вручную, добавлять на каждые следующие 10 см увеличения толщины слоя</v>
      </c>
      <c r="D236" s="32" t="str">
        <f>[1]Source!H138</f>
        <v>100 м2</v>
      </c>
      <c r="E236" s="4">
        <f>[1]Source!I138</f>
        <v>1.0798000000000001</v>
      </c>
      <c r="F236" s="33"/>
      <c r="G236" s="34"/>
      <c r="H236" s="4"/>
      <c r="I236" s="4"/>
      <c r="J236" s="33"/>
      <c r="K236" s="33"/>
      <c r="M236"/>
      <c r="N236"/>
      <c r="O236"/>
      <c r="P236"/>
      <c r="Q236"/>
      <c r="AB236">
        <f>ROUND(([1]Source!BZ138/100)*ROUND(([1]Source!AF138*[1]Source!AV138)*[1]Source!I138, 2), 2)</f>
        <v>59190.01</v>
      </c>
      <c r="AC236">
        <f>[1]Source!X138</f>
        <v>59190.01</v>
      </c>
      <c r="AD236">
        <f>ROUND(([1]Source!CA138/100)*ROUND(([1]Source!AF138*[1]Source!AV138)*[1]Source!I138, 2), 2)</f>
        <v>8455.7199999999993</v>
      </c>
      <c r="AE236">
        <f>[1]Source!Y138</f>
        <v>8455.7199999999993</v>
      </c>
      <c r="AF236">
        <f>ROUND((175/100)*ROUND(([1]Source!AE138*[1]Source!AV138)*[1]Source!I138, 2), 2)</f>
        <v>0</v>
      </c>
      <c r="AG236">
        <f>ROUND((108/100)*ROUND([1]Source!CS138*[1]Source!I138, 2), 2)</f>
        <v>0</v>
      </c>
    </row>
    <row r="237" spans="1:33" x14ac:dyDescent="0.2">
      <c r="C237" s="40" t="str">
        <f>"Объем: "&amp;[1]Source!I138&amp;"=107,98/"&amp;"100"</f>
        <v>Объем: 1,0798=107,98/100</v>
      </c>
      <c r="M237"/>
      <c r="N237"/>
      <c r="O237"/>
      <c r="P237"/>
      <c r="Q237"/>
    </row>
    <row r="238" spans="1:33" ht="14.25" x14ac:dyDescent="0.2">
      <c r="A238" s="31"/>
      <c r="B238" s="31"/>
      <c r="C238" s="31" t="s">
        <v>34</v>
      </c>
      <c r="D238" s="32"/>
      <c r="E238" s="4"/>
      <c r="F238" s="33">
        <f>[1]Source!AO138</f>
        <v>116.53</v>
      </c>
      <c r="G238" s="34" t="str">
        <f>[1]Source!DG138</f>
        <v>)*4*168</v>
      </c>
      <c r="H238" s="4">
        <f>[1]Source!AV138</f>
        <v>1</v>
      </c>
      <c r="I238" s="4">
        <f>IF([1]Source!BA138&lt;&gt; 0, [1]Source!BA138, 1)</f>
        <v>1</v>
      </c>
      <c r="J238" s="33">
        <f>[1]Source!S138</f>
        <v>84557.15</v>
      </c>
      <c r="K238" s="33"/>
      <c r="M238"/>
      <c r="N238"/>
      <c r="O238"/>
      <c r="P238"/>
      <c r="Q238"/>
    </row>
    <row r="239" spans="1:33" ht="14.25" x14ac:dyDescent="0.2">
      <c r="A239" s="31"/>
      <c r="B239" s="31"/>
      <c r="C239" s="31" t="s">
        <v>40</v>
      </c>
      <c r="D239" s="32" t="s">
        <v>39</v>
      </c>
      <c r="E239" s="4">
        <f>[1]Source!AT138</f>
        <v>70</v>
      </c>
      <c r="F239" s="33"/>
      <c r="G239" s="34"/>
      <c r="H239" s="4"/>
      <c r="I239" s="4"/>
      <c r="J239" s="33">
        <f>SUM(AC236:AC238)</f>
        <v>59190.01</v>
      </c>
      <c r="K239" s="33"/>
      <c r="M239"/>
      <c r="N239"/>
      <c r="O239"/>
      <c r="P239"/>
      <c r="Q239"/>
    </row>
    <row r="240" spans="1:33" ht="14.25" x14ac:dyDescent="0.2">
      <c r="A240" s="31"/>
      <c r="B240" s="31"/>
      <c r="C240" s="31" t="s">
        <v>41</v>
      </c>
      <c r="D240" s="32" t="s">
        <v>39</v>
      </c>
      <c r="E240" s="4">
        <f>[1]Source!AU138</f>
        <v>10</v>
      </c>
      <c r="F240" s="33"/>
      <c r="G240" s="34"/>
      <c r="H240" s="4"/>
      <c r="I240" s="4"/>
      <c r="J240" s="33">
        <f>SUM(AE236:AE239)</f>
        <v>8455.7199999999993</v>
      </c>
      <c r="K240" s="33"/>
      <c r="M240"/>
      <c r="N240"/>
      <c r="O240"/>
      <c r="P240"/>
      <c r="Q240"/>
    </row>
    <row r="241" spans="1:33" ht="14.25" x14ac:dyDescent="0.2">
      <c r="A241" s="31"/>
      <c r="B241" s="31"/>
      <c r="C241" s="31" t="s">
        <v>42</v>
      </c>
      <c r="D241" s="32" t="s">
        <v>43</v>
      </c>
      <c r="E241" s="4">
        <f>[1]Source!AQ138</f>
        <v>0.47</v>
      </c>
      <c r="F241" s="33"/>
      <c r="G241" s="34" t="str">
        <f>[1]Source!DI138</f>
        <v>)*4*168</v>
      </c>
      <c r="H241" s="4">
        <f>[1]Source!AV138</f>
        <v>1</v>
      </c>
      <c r="I241" s="4"/>
      <c r="J241" s="33"/>
      <c r="K241" s="33">
        <f>[1]Source!U138</f>
        <v>341.04403200000002</v>
      </c>
      <c r="M241"/>
      <c r="N241"/>
      <c r="O241"/>
      <c r="P241"/>
      <c r="Q241"/>
    </row>
    <row r="242" spans="1:33" ht="15" x14ac:dyDescent="0.25">
      <c r="A242" s="35"/>
      <c r="B242" s="35"/>
      <c r="C242" s="35"/>
      <c r="D242" s="35"/>
      <c r="E242" s="35"/>
      <c r="F242" s="35"/>
      <c r="G242" s="35"/>
      <c r="H242" s="35"/>
      <c r="I242" s="36">
        <f>J238+J239+J240</f>
        <v>152202.88</v>
      </c>
      <c r="J242" s="36"/>
      <c r="K242" s="37">
        <f>IF([1]Source!I138&lt;&gt;0, ROUND(I242/[1]Source!I138, 2), 0)</f>
        <v>140954.70000000001</v>
      </c>
      <c r="M242"/>
      <c r="N242"/>
      <c r="O242"/>
      <c r="P242"/>
      <c r="Q242"/>
      <c r="AA242" s="38">
        <f>I242</f>
        <v>152202.88</v>
      </c>
    </row>
    <row r="243" spans="1:33" ht="57" x14ac:dyDescent="0.2">
      <c r="A243" s="31">
        <v>35</v>
      </c>
      <c r="B243" s="31" t="str">
        <f>[1]Source!F139</f>
        <v>5.3-1102-24-1/1</v>
      </c>
      <c r="C243" s="31" t="str">
        <f>[1]Source!G139</f>
        <v>Уборка свежевыпавшего снега ручной самоходной машиной - ширина захвата 120 см( 20% от 7199 м2, V= 7199 м2 *0,2= 1439,8 м2 )</v>
      </c>
      <c r="D243" s="32" t="str">
        <f>[1]Source!H139</f>
        <v>100 м2</v>
      </c>
      <c r="E243" s="4">
        <f>[1]Source!I139</f>
        <v>14.398</v>
      </c>
      <c r="F243" s="33"/>
      <c r="G243" s="34"/>
      <c r="H243" s="4"/>
      <c r="I243" s="4"/>
      <c r="J243" s="33"/>
      <c r="K243" s="33"/>
      <c r="M243"/>
      <c r="N243"/>
      <c r="O243"/>
      <c r="P243"/>
      <c r="Q243"/>
      <c r="AB243">
        <f>ROUND(([1]Source!BZ139/100)*ROUND(([1]Source!AF139*[1]Source!AV139)*[1]Source!I139, 2), 2)</f>
        <v>657369.82999999996</v>
      </c>
      <c r="AC243">
        <f>[1]Source!X139</f>
        <v>657369.82999999996</v>
      </c>
      <c r="AD243">
        <f>ROUND(([1]Source!CA139/100)*ROUND(([1]Source!AF139*[1]Source!AV139)*[1]Source!I139, 2), 2)</f>
        <v>93909.98</v>
      </c>
      <c r="AE243">
        <f>[1]Source!Y139</f>
        <v>93909.98</v>
      </c>
      <c r="AF243">
        <f>ROUND((175/100)*ROUND(([1]Source!AE139*[1]Source!AV139)*[1]Source!I139, 2), 2)</f>
        <v>1523.88</v>
      </c>
      <c r="AG243">
        <f>ROUND((108/100)*ROUND([1]Source!CS139*[1]Source!I139, 2), 2)</f>
        <v>940.45</v>
      </c>
    </row>
    <row r="244" spans="1:33" x14ac:dyDescent="0.2">
      <c r="C244" s="40" t="str">
        <f>"Объем: "&amp;[1]Source!I139&amp;"=1439,8/"&amp;"100"</f>
        <v>Объем: 14,398=1439,8/100</v>
      </c>
      <c r="M244"/>
      <c r="N244"/>
      <c r="O244"/>
      <c r="P244"/>
      <c r="Q244"/>
    </row>
    <row r="245" spans="1:33" ht="14.25" x14ac:dyDescent="0.2">
      <c r="A245" s="31"/>
      <c r="B245" s="31"/>
      <c r="C245" s="31" t="s">
        <v>34</v>
      </c>
      <c r="D245" s="32"/>
      <c r="E245" s="4"/>
      <c r="F245" s="33">
        <f>[1]Source!AO139</f>
        <v>97.06</v>
      </c>
      <c r="G245" s="34" t="str">
        <f>[1]Source!DG139</f>
        <v>)*4*168</v>
      </c>
      <c r="H245" s="4">
        <f>[1]Source!AV139</f>
        <v>1</v>
      </c>
      <c r="I245" s="4">
        <f>IF([1]Source!BA139&lt;&gt; 0, [1]Source!BA139, 1)</f>
        <v>1</v>
      </c>
      <c r="J245" s="33">
        <f>[1]Source!S139</f>
        <v>939099.76</v>
      </c>
      <c r="K245" s="33"/>
      <c r="M245"/>
      <c r="N245"/>
      <c r="O245"/>
      <c r="P245"/>
      <c r="Q245"/>
    </row>
    <row r="246" spans="1:33" ht="14.25" x14ac:dyDescent="0.2">
      <c r="A246" s="31"/>
      <c r="B246" s="31"/>
      <c r="C246" s="31" t="s">
        <v>33</v>
      </c>
      <c r="D246" s="32"/>
      <c r="E246" s="4"/>
      <c r="F246" s="33">
        <f>[1]Source!AM139</f>
        <v>33.97</v>
      </c>
      <c r="G246" s="34" t="str">
        <f>[1]Source!DE139</f>
        <v>)*4*168</v>
      </c>
      <c r="H246" s="4">
        <f>[1]Source!AV139</f>
        <v>1</v>
      </c>
      <c r="I246" s="4">
        <f>IF([1]Source!BB139&lt;&gt; 0, [1]Source!BB139, 1)</f>
        <v>1</v>
      </c>
      <c r="J246" s="33">
        <f>[1]Source!Q139</f>
        <v>328675.24</v>
      </c>
      <c r="K246" s="33"/>
      <c r="M246"/>
      <c r="N246"/>
      <c r="O246"/>
      <c r="P246"/>
      <c r="Q246"/>
    </row>
    <row r="247" spans="1:33" ht="14.25" x14ac:dyDescent="0.2">
      <c r="A247" s="31"/>
      <c r="B247" s="31"/>
      <c r="C247" s="31" t="s">
        <v>37</v>
      </c>
      <c r="D247" s="32"/>
      <c r="E247" s="4"/>
      <c r="F247" s="33">
        <f>[1]Source!AN139</f>
        <v>0.09</v>
      </c>
      <c r="G247" s="34" t="str">
        <f>[1]Source!DF139</f>
        <v>)*4*168</v>
      </c>
      <c r="H247" s="4">
        <f>[1]Source!AV139</f>
        <v>1</v>
      </c>
      <c r="I247" s="4">
        <f>IF([1]Source!BS139&lt;&gt; 0, [1]Source!BS139, 1)</f>
        <v>1</v>
      </c>
      <c r="J247" s="41">
        <f>[1]Source!R139</f>
        <v>870.79</v>
      </c>
      <c r="K247" s="33"/>
      <c r="M247"/>
      <c r="N247"/>
      <c r="O247"/>
      <c r="P247"/>
      <c r="Q247"/>
    </row>
    <row r="248" spans="1:33" ht="14.25" x14ac:dyDescent="0.2">
      <c r="A248" s="31"/>
      <c r="B248" s="31"/>
      <c r="C248" s="31" t="s">
        <v>40</v>
      </c>
      <c r="D248" s="32" t="s">
        <v>39</v>
      </c>
      <c r="E248" s="4">
        <f>[1]Source!AT139</f>
        <v>70</v>
      </c>
      <c r="F248" s="33"/>
      <c r="G248" s="34"/>
      <c r="H248" s="4"/>
      <c r="I248" s="4"/>
      <c r="J248" s="33">
        <f>SUM(AC243:AC247)</f>
        <v>657369.82999999996</v>
      </c>
      <c r="K248" s="33"/>
      <c r="M248"/>
      <c r="N248"/>
      <c r="O248"/>
      <c r="P248"/>
      <c r="Q248"/>
    </row>
    <row r="249" spans="1:33" ht="14.25" x14ac:dyDescent="0.2">
      <c r="A249" s="31"/>
      <c r="B249" s="31"/>
      <c r="C249" s="31" t="s">
        <v>41</v>
      </c>
      <c r="D249" s="32" t="s">
        <v>39</v>
      </c>
      <c r="E249" s="4">
        <f>[1]Source!AU139</f>
        <v>10</v>
      </c>
      <c r="F249" s="33"/>
      <c r="G249" s="34"/>
      <c r="H249" s="4"/>
      <c r="I249" s="4"/>
      <c r="J249" s="33">
        <f>SUM(AE243:AE248)</f>
        <v>93909.98</v>
      </c>
      <c r="K249" s="33"/>
      <c r="M249"/>
      <c r="N249"/>
      <c r="O249"/>
      <c r="P249"/>
      <c r="Q249"/>
    </row>
    <row r="250" spans="1:33" ht="14.25" x14ac:dyDescent="0.2">
      <c r="A250" s="31"/>
      <c r="B250" s="31"/>
      <c r="C250" s="31" t="s">
        <v>38</v>
      </c>
      <c r="D250" s="32" t="s">
        <v>39</v>
      </c>
      <c r="E250" s="4">
        <f>108</f>
        <v>108</v>
      </c>
      <c r="F250" s="33"/>
      <c r="G250" s="34"/>
      <c r="H250" s="4"/>
      <c r="I250" s="4"/>
      <c r="J250" s="33">
        <f>SUM(AG243:AG249)</f>
        <v>940.45</v>
      </c>
      <c r="K250" s="33"/>
      <c r="M250"/>
      <c r="N250"/>
      <c r="O250"/>
      <c r="P250"/>
      <c r="Q250"/>
    </row>
    <row r="251" spans="1:33" ht="14.25" x14ac:dyDescent="0.2">
      <c r="A251" s="31"/>
      <c r="B251" s="31"/>
      <c r="C251" s="31" t="s">
        <v>42</v>
      </c>
      <c r="D251" s="32" t="s">
        <v>43</v>
      </c>
      <c r="E251" s="4">
        <f>[1]Source!AQ139</f>
        <v>0.35</v>
      </c>
      <c r="F251" s="33"/>
      <c r="G251" s="34" t="str">
        <f>[1]Source!DI139</f>
        <v>)*4*168</v>
      </c>
      <c r="H251" s="4">
        <f>[1]Source!AV139</f>
        <v>1</v>
      </c>
      <c r="I251" s="4"/>
      <c r="J251" s="33"/>
      <c r="K251" s="33">
        <f>[1]Source!U139</f>
        <v>3386.4096</v>
      </c>
      <c r="M251"/>
      <c r="N251"/>
      <c r="O251"/>
      <c r="P251"/>
      <c r="Q251"/>
    </row>
    <row r="252" spans="1:33" ht="15" x14ac:dyDescent="0.25">
      <c r="A252" s="35"/>
      <c r="B252" s="35"/>
      <c r="C252" s="35"/>
      <c r="D252" s="35"/>
      <c r="E252" s="35"/>
      <c r="F252" s="35"/>
      <c r="G252" s="35"/>
      <c r="H252" s="35"/>
      <c r="I252" s="36">
        <f>J245+J246+J248+J249+J250</f>
        <v>2019995.26</v>
      </c>
      <c r="J252" s="36"/>
      <c r="K252" s="37">
        <f>IF([1]Source!I139&lt;&gt;0, ROUND(I252/[1]Source!I139, 2), 0)</f>
        <v>140296.93</v>
      </c>
      <c r="M252"/>
      <c r="N252"/>
      <c r="O252"/>
      <c r="P252"/>
      <c r="Q252"/>
      <c r="AA252" s="38">
        <f>I252</f>
        <v>2019995.26</v>
      </c>
    </row>
    <row r="253" spans="1:33" ht="42.75" x14ac:dyDescent="0.2">
      <c r="A253" s="31">
        <v>36</v>
      </c>
      <c r="B253" s="31" t="str">
        <f>[1]Source!F140</f>
        <v>5.3-1102-9-1/1</v>
      </c>
      <c r="C253" s="31" t="str">
        <f>[1]Source!G140</f>
        <v>Колка льда на обледеневших покрытиях вручную( S=7199 м2*0,1*03*0,5= 107,98 м2)</v>
      </c>
      <c r="D253" s="32" t="str">
        <f>[1]Source!H140</f>
        <v>100 м2</v>
      </c>
      <c r="E253" s="4">
        <f>[1]Source!I140</f>
        <v>1.0798000000000001</v>
      </c>
      <c r="F253" s="33"/>
      <c r="G253" s="34"/>
      <c r="H253" s="4"/>
      <c r="I253" s="4"/>
      <c r="J253" s="33"/>
      <c r="K253" s="33"/>
      <c r="M253"/>
      <c r="N253"/>
      <c r="O253"/>
      <c r="P253"/>
      <c r="Q253"/>
      <c r="AB253">
        <f>ROUND(([1]Source!BZ140/100)*ROUND(([1]Source!AF140*[1]Source!AV140)*[1]Source!I140, 2), 2)</f>
        <v>151749</v>
      </c>
      <c r="AC253">
        <f>[1]Source!X140</f>
        <v>151749</v>
      </c>
      <c r="AD253">
        <f>ROUND(([1]Source!CA140/100)*ROUND(([1]Source!AF140*[1]Source!AV140)*[1]Source!I140, 2), 2)</f>
        <v>21678.43</v>
      </c>
      <c r="AE253">
        <f>[1]Source!Y140</f>
        <v>21678.43</v>
      </c>
      <c r="AF253">
        <f>ROUND((175/100)*ROUND(([1]Source!AE140*[1]Source!AV140)*[1]Source!I140, 2), 2)</f>
        <v>0</v>
      </c>
      <c r="AG253">
        <f>ROUND((108/100)*ROUND([1]Source!CS140*[1]Source!I140, 2), 2)</f>
        <v>0</v>
      </c>
    </row>
    <row r="254" spans="1:33" x14ac:dyDescent="0.2">
      <c r="C254" s="40" t="str">
        <f>"Объем: "&amp;[1]Source!I140&amp;"=107,98/"&amp;"100"</f>
        <v>Объем: 1,0798=107,98/100</v>
      </c>
      <c r="M254"/>
      <c r="N254"/>
      <c r="O254"/>
      <c r="P254"/>
      <c r="Q254"/>
    </row>
    <row r="255" spans="1:33" ht="14.25" x14ac:dyDescent="0.2">
      <c r="A255" s="31"/>
      <c r="B255" s="31"/>
      <c r="C255" s="31" t="s">
        <v>34</v>
      </c>
      <c r="D255" s="32"/>
      <c r="E255" s="4"/>
      <c r="F255" s="33">
        <f>[1]Source!AO140</f>
        <v>597.51</v>
      </c>
      <c r="G255" s="34" t="str">
        <f>[1]Source!DG140</f>
        <v>)*2*168</v>
      </c>
      <c r="H255" s="4">
        <f>[1]Source!AV140</f>
        <v>1</v>
      </c>
      <c r="I255" s="4">
        <f>IF([1]Source!BA140&lt;&gt; 0, [1]Source!BA140, 1)</f>
        <v>1</v>
      </c>
      <c r="J255" s="33">
        <f>[1]Source!S140</f>
        <v>216784.28</v>
      </c>
      <c r="K255" s="33"/>
      <c r="M255"/>
      <c r="N255"/>
      <c r="O255"/>
      <c r="P255"/>
      <c r="Q255"/>
    </row>
    <row r="256" spans="1:33" ht="14.25" x14ac:dyDescent="0.2">
      <c r="A256" s="31"/>
      <c r="B256" s="31"/>
      <c r="C256" s="31" t="s">
        <v>40</v>
      </c>
      <c r="D256" s="32" t="s">
        <v>39</v>
      </c>
      <c r="E256" s="4">
        <f>[1]Source!AT140</f>
        <v>70</v>
      </c>
      <c r="F256" s="33"/>
      <c r="G256" s="34"/>
      <c r="H256" s="4"/>
      <c r="I256" s="4"/>
      <c r="J256" s="33">
        <f>SUM(AC253:AC255)</f>
        <v>151749</v>
      </c>
      <c r="K256" s="33"/>
      <c r="M256"/>
      <c r="N256"/>
      <c r="O256"/>
      <c r="P256"/>
      <c r="Q256"/>
    </row>
    <row r="257" spans="1:33" ht="14.25" x14ac:dyDescent="0.2">
      <c r="A257" s="31"/>
      <c r="B257" s="31"/>
      <c r="C257" s="31" t="s">
        <v>41</v>
      </c>
      <c r="D257" s="32" t="s">
        <v>39</v>
      </c>
      <c r="E257" s="4">
        <f>[1]Source!AU140</f>
        <v>10</v>
      </c>
      <c r="F257" s="33"/>
      <c r="G257" s="34"/>
      <c r="H257" s="4"/>
      <c r="I257" s="4"/>
      <c r="J257" s="33">
        <f>SUM(AE253:AE256)</f>
        <v>21678.43</v>
      </c>
      <c r="K257" s="33"/>
      <c r="M257"/>
      <c r="N257"/>
      <c r="O257"/>
      <c r="P257"/>
      <c r="Q257"/>
    </row>
    <row r="258" spans="1:33" ht="14.25" x14ac:dyDescent="0.2">
      <c r="A258" s="31"/>
      <c r="B258" s="31"/>
      <c r="C258" s="31" t="s">
        <v>42</v>
      </c>
      <c r="D258" s="32" t="s">
        <v>43</v>
      </c>
      <c r="E258" s="4">
        <f>[1]Source!AQ140</f>
        <v>2.41</v>
      </c>
      <c r="F258" s="33"/>
      <c r="G258" s="34" t="str">
        <f>[1]Source!DI140</f>
        <v>)*2*168</v>
      </c>
      <c r="H258" s="4">
        <f>[1]Source!AV140</f>
        <v>1</v>
      </c>
      <c r="I258" s="4"/>
      <c r="J258" s="33"/>
      <c r="K258" s="33">
        <f>[1]Source!U140</f>
        <v>874.37884800000006</v>
      </c>
      <c r="M258"/>
      <c r="N258"/>
      <c r="O258"/>
      <c r="P258"/>
      <c r="Q258"/>
    </row>
    <row r="259" spans="1:33" ht="15" x14ac:dyDescent="0.25">
      <c r="A259" s="35"/>
      <c r="B259" s="35"/>
      <c r="C259" s="35"/>
      <c r="D259" s="35"/>
      <c r="E259" s="35"/>
      <c r="F259" s="35"/>
      <c r="G259" s="35"/>
      <c r="H259" s="35"/>
      <c r="I259" s="36">
        <f>J255+J256+J257</f>
        <v>390211.71</v>
      </c>
      <c r="J259" s="36"/>
      <c r="K259" s="37">
        <f>IF([1]Source!I140&lt;&gt;0, ROUND(I259/[1]Source!I140, 2), 0)</f>
        <v>361374.06</v>
      </c>
      <c r="M259"/>
      <c r="N259"/>
      <c r="O259"/>
      <c r="P259"/>
      <c r="Q259"/>
      <c r="AA259" s="38">
        <f>I259</f>
        <v>390211.71</v>
      </c>
    </row>
    <row r="260" spans="1:33" ht="57" x14ac:dyDescent="0.2">
      <c r="A260" s="31">
        <v>37</v>
      </c>
      <c r="B260" s="31" t="str">
        <f>[1]Source!F141</f>
        <v>калькуляция</v>
      </c>
      <c r="C260" s="31" t="str">
        <f>[1]Source!G141</f>
        <v>Посыпка  гранитной крошкой дорожных покрытий средствами малой механизации( расход крошки 100 г/м2)</v>
      </c>
      <c r="D260" s="32" t="str">
        <f>[1]Source!H141</f>
        <v>м2</v>
      </c>
      <c r="E260" s="4">
        <f>[1]Source!I141</f>
        <v>5039.3</v>
      </c>
      <c r="F260" s="33"/>
      <c r="G260" s="34"/>
      <c r="H260" s="4"/>
      <c r="I260" s="4"/>
      <c r="J260" s="33"/>
      <c r="K260" s="33"/>
      <c r="M260"/>
      <c r="N260"/>
      <c r="O260"/>
      <c r="P260"/>
      <c r="Q260"/>
      <c r="AB260">
        <f>ROUND(([1]Source!BZ141/100)*ROUND(([1]Source!AF141*[1]Source!AV141)*[1]Source!I141, 2), 2)</f>
        <v>0</v>
      </c>
      <c r="AC260">
        <f>[1]Source!X141</f>
        <v>0</v>
      </c>
      <c r="AD260">
        <f>ROUND(([1]Source!CA141/100)*ROUND(([1]Source!AF141*[1]Source!AV141)*[1]Source!I141, 2), 2)</f>
        <v>0</v>
      </c>
      <c r="AE260">
        <f>[1]Source!Y141</f>
        <v>0</v>
      </c>
      <c r="AF260">
        <f>ROUND((175/100)*ROUND(([1]Source!AE141*[1]Source!AV141)*[1]Source!I141, 2), 2)</f>
        <v>0</v>
      </c>
      <c r="AG260">
        <f>ROUND((108/100)*ROUND([1]Source!CS141*[1]Source!I141, 2), 2)</f>
        <v>0</v>
      </c>
    </row>
    <row r="261" spans="1:33" ht="14.25" x14ac:dyDescent="0.2">
      <c r="A261" s="31"/>
      <c r="B261" s="31"/>
      <c r="C261" s="31" t="s">
        <v>33</v>
      </c>
      <c r="D261" s="32"/>
      <c r="E261" s="4"/>
      <c r="F261" s="33">
        <f>[1]Source!AM141</f>
        <v>0.33</v>
      </c>
      <c r="G261" s="34" t="str">
        <f>[1]Source!DE141</f>
        <v>)*4*168</v>
      </c>
      <c r="H261" s="4">
        <f>[1]Source!AV141</f>
        <v>1</v>
      </c>
      <c r="I261" s="4">
        <f>IF([1]Source!BB141&lt;&gt; 0, [1]Source!BB141, 1)</f>
        <v>1</v>
      </c>
      <c r="J261" s="33">
        <f>[1]Source!Q141</f>
        <v>1117515.17</v>
      </c>
      <c r="K261" s="33"/>
      <c r="M261"/>
      <c r="N261"/>
      <c r="O261"/>
      <c r="P261"/>
      <c r="Q261"/>
    </row>
    <row r="262" spans="1:33" ht="14.25" x14ac:dyDescent="0.2">
      <c r="A262" s="31" t="s">
        <v>52</v>
      </c>
      <c r="B262" s="31" t="str">
        <f>[1]Source!F142</f>
        <v>цена поставщика</v>
      </c>
      <c r="C262" s="31" t="str">
        <f>[1]Source!G142</f>
        <v>Крошка гранитная</v>
      </c>
      <c r="D262" s="32" t="str">
        <f>[1]Source!H142</f>
        <v>кг</v>
      </c>
      <c r="E262" s="4">
        <f>[1]Source!I142</f>
        <v>338640.96</v>
      </c>
      <c r="F262" s="33">
        <f>[1]Source!AK142</f>
        <v>4.43</v>
      </c>
      <c r="G262" s="39" t="s">
        <v>45</v>
      </c>
      <c r="H262" s="4">
        <f>[1]Source!AW142</f>
        <v>1</v>
      </c>
      <c r="I262" s="4">
        <f>IF([1]Source!BC142&lt;&gt; 0, [1]Source!BC142, 1)</f>
        <v>1</v>
      </c>
      <c r="J262" s="33">
        <f>[1]Source!O142</f>
        <v>1500179.45</v>
      </c>
      <c r="K262" s="33"/>
      <c r="M262"/>
      <c r="N262"/>
      <c r="O262"/>
      <c r="P262"/>
      <c r="Q262"/>
      <c r="AB262">
        <f>ROUND(([1]Source!BZ142/100)*ROUND(([1]Source!AF142*[1]Source!AV142)*[1]Source!I142, 2), 2)</f>
        <v>0</v>
      </c>
      <c r="AC262">
        <f>[1]Source!X142</f>
        <v>0</v>
      </c>
      <c r="AD262">
        <f>ROUND(([1]Source!CA142/100)*ROUND(([1]Source!AF142*[1]Source!AV142)*[1]Source!I142, 2), 2)</f>
        <v>0</v>
      </c>
      <c r="AE262">
        <f>[1]Source!Y142</f>
        <v>0</v>
      </c>
      <c r="AF262">
        <f>ROUND((175/100)*ROUND(([1]Source!AE142*[1]Source!AV142)*[1]Source!I142, 2), 2)</f>
        <v>0</v>
      </c>
      <c r="AG262">
        <f>ROUND((108/100)*ROUND([1]Source!CS142*[1]Source!I142, 2), 2)</f>
        <v>0</v>
      </c>
    </row>
    <row r="263" spans="1:33" ht="15" x14ac:dyDescent="0.25">
      <c r="A263" s="35"/>
      <c r="B263" s="35"/>
      <c r="C263" s="35"/>
      <c r="D263" s="35"/>
      <c r="E263" s="35"/>
      <c r="F263" s="35"/>
      <c r="G263" s="35"/>
      <c r="H263" s="35"/>
      <c r="I263" s="36">
        <f>J261+SUM(J262:J262)</f>
        <v>2617694.62</v>
      </c>
      <c r="J263" s="36"/>
      <c r="K263" s="37">
        <f>IF([1]Source!I141&lt;&gt;0, ROUND(I263/[1]Source!I141, 2), 0)</f>
        <v>519.46</v>
      </c>
      <c r="M263"/>
      <c r="N263"/>
      <c r="O263"/>
      <c r="P263"/>
      <c r="Q263"/>
      <c r="AA263" s="38">
        <f>I263</f>
        <v>2617694.62</v>
      </c>
    </row>
    <row r="264" spans="1:33" ht="28.5" x14ac:dyDescent="0.2">
      <c r="A264" s="31">
        <v>38</v>
      </c>
      <c r="B264" s="31" t="str">
        <f>[1]Source!F143</f>
        <v>калькуляция</v>
      </c>
      <c r="C264" s="31" t="str">
        <f>[1]Source!G143</f>
        <v>Посыпка гранитной крошкой дорожных покрытий вручную( 100г/м2 )</v>
      </c>
      <c r="D264" s="32" t="str">
        <f>[1]Source!H143</f>
        <v>м2</v>
      </c>
      <c r="E264" s="4">
        <f>[1]Source!I143</f>
        <v>2159.6999999999998</v>
      </c>
      <c r="F264" s="33"/>
      <c r="G264" s="34"/>
      <c r="H264" s="4"/>
      <c r="I264" s="4"/>
      <c r="J264" s="33"/>
      <c r="K264" s="33"/>
      <c r="M264"/>
      <c r="N264"/>
      <c r="O264"/>
      <c r="P264"/>
      <c r="Q264"/>
      <c r="AB264">
        <f>ROUND(([1]Source!BZ143/100)*ROUND(([1]Source!AF143*[1]Source!AV143)*[1]Source!I143, 2), 2)</f>
        <v>0</v>
      </c>
      <c r="AC264">
        <f>[1]Source!X143</f>
        <v>0</v>
      </c>
      <c r="AD264">
        <f>ROUND(([1]Source!CA143/100)*ROUND(([1]Source!AF143*[1]Source!AV143)*[1]Source!I143, 2), 2)</f>
        <v>0</v>
      </c>
      <c r="AE264">
        <f>[1]Source!Y143</f>
        <v>0</v>
      </c>
      <c r="AF264">
        <f>ROUND((175/100)*ROUND(([1]Source!AE143*[1]Source!AV143)*[1]Source!I143, 2), 2)</f>
        <v>0</v>
      </c>
      <c r="AG264">
        <f>ROUND((108/100)*ROUND([1]Source!CS143*[1]Source!I143, 2), 2)</f>
        <v>0</v>
      </c>
    </row>
    <row r="265" spans="1:33" ht="14.25" x14ac:dyDescent="0.2">
      <c r="A265" s="31"/>
      <c r="B265" s="31"/>
      <c r="C265" s="31" t="s">
        <v>34</v>
      </c>
      <c r="D265" s="32"/>
      <c r="E265" s="4"/>
      <c r="F265" s="33">
        <f>[1]Source!AO143</f>
        <v>2.08</v>
      </c>
      <c r="G265" s="34" t="str">
        <f>[1]Source!DG143</f>
        <v>)*4*168</v>
      </c>
      <c r="H265" s="4">
        <f>[1]Source!AV143</f>
        <v>1</v>
      </c>
      <c r="I265" s="4">
        <f>IF([1]Source!BA143&lt;&gt; 0, [1]Source!BA143, 1)</f>
        <v>1</v>
      </c>
      <c r="J265" s="33">
        <f>[1]Source!S143</f>
        <v>3018742.27</v>
      </c>
      <c r="K265" s="33"/>
      <c r="M265"/>
      <c r="N265"/>
      <c r="O265"/>
      <c r="P265"/>
      <c r="Q265"/>
    </row>
    <row r="266" spans="1:33" ht="27" x14ac:dyDescent="0.2">
      <c r="A266" s="31" t="s">
        <v>53</v>
      </c>
      <c r="B266" s="31" t="str">
        <f>[1]Source!F144</f>
        <v>цена поставщика</v>
      </c>
      <c r="C266" s="31" t="s">
        <v>54</v>
      </c>
      <c r="D266" s="32" t="str">
        <f>[1]Source!H144</f>
        <v>кг</v>
      </c>
      <c r="E266" s="4">
        <f>[1]Source!I144</f>
        <v>145131.84</v>
      </c>
      <c r="F266" s="33">
        <f>[1]Source!AK144</f>
        <v>3.69</v>
      </c>
      <c r="G266" s="39" t="s">
        <v>45</v>
      </c>
      <c r="H266" s="4">
        <f>[1]Source!AW144</f>
        <v>1</v>
      </c>
      <c r="I266" s="4">
        <f>IF([1]Source!BC144&lt;&gt; 0, [1]Source!BC144, 1)</f>
        <v>1</v>
      </c>
      <c r="J266" s="33">
        <f>[1]Source!O144</f>
        <v>535536.49</v>
      </c>
      <c r="K266" s="33"/>
      <c r="M266"/>
      <c r="N266"/>
      <c r="O266"/>
      <c r="P266"/>
      <c r="Q266"/>
      <c r="AB266">
        <f>ROUND(([1]Source!BZ144/100)*ROUND(([1]Source!AF144*[1]Source!AV144)*[1]Source!I144, 2), 2)</f>
        <v>0</v>
      </c>
      <c r="AC266">
        <f>[1]Source!X144</f>
        <v>0</v>
      </c>
      <c r="AD266">
        <f>ROUND(([1]Source!CA144/100)*ROUND(([1]Source!AF144*[1]Source!AV144)*[1]Source!I144, 2), 2)</f>
        <v>0</v>
      </c>
      <c r="AE266">
        <f>[1]Source!Y144</f>
        <v>0</v>
      </c>
      <c r="AF266">
        <f>ROUND((175/100)*ROUND(([1]Source!AE144*[1]Source!AV144)*[1]Source!I144, 2), 2)</f>
        <v>0</v>
      </c>
      <c r="AG266">
        <f>ROUND((108/100)*ROUND([1]Source!CS144*[1]Source!I144, 2), 2)</f>
        <v>0</v>
      </c>
    </row>
    <row r="267" spans="1:33" ht="15" x14ac:dyDescent="0.25">
      <c r="A267" s="35"/>
      <c r="B267" s="35"/>
      <c r="C267" s="35"/>
      <c r="D267" s="35"/>
      <c r="E267" s="35"/>
      <c r="F267" s="35"/>
      <c r="G267" s="35"/>
      <c r="H267" s="35"/>
      <c r="I267" s="36">
        <f>J265+SUM(J266:J266)</f>
        <v>3554278.76</v>
      </c>
      <c r="J267" s="36"/>
      <c r="K267" s="37">
        <f>IF([1]Source!I143&lt;&gt;0, ROUND(I267/[1]Source!I143, 2), 0)</f>
        <v>1645.73</v>
      </c>
      <c r="M267"/>
      <c r="N267"/>
      <c r="O267"/>
      <c r="P267"/>
      <c r="Q267"/>
      <c r="AA267" s="38">
        <f>I267</f>
        <v>3554278.76</v>
      </c>
    </row>
    <row r="268" spans="1:33" ht="28.5" x14ac:dyDescent="0.2">
      <c r="A268" s="31">
        <v>39</v>
      </c>
      <c r="B268" s="31" t="str">
        <f>[1]Source!F145</f>
        <v>5.4-1201-1-1/1</v>
      </c>
      <c r="C268" s="31" t="str">
        <f>[1]Source!G145</f>
        <v>Сбор случайного мусора по территории</v>
      </c>
      <c r="D268" s="32" t="str">
        <f>[1]Source!H145</f>
        <v>100 м2</v>
      </c>
      <c r="E268" s="4">
        <f>[1]Source!I145</f>
        <v>71.989999999999995</v>
      </c>
      <c r="F268" s="33"/>
      <c r="G268" s="34"/>
      <c r="H268" s="4"/>
      <c r="I268" s="4"/>
      <c r="J268" s="33"/>
      <c r="K268" s="33"/>
      <c r="M268"/>
      <c r="N268"/>
      <c r="O268"/>
      <c r="P268"/>
      <c r="Q268"/>
      <c r="AB268">
        <f>ROUND(([1]Source!BZ145/100)*ROUND(([1]Source!AF145*[1]Source!AV145)*[1]Source!I145, 2), 2)</f>
        <v>829831.61</v>
      </c>
      <c r="AC268">
        <f>[1]Source!X145</f>
        <v>829831.61</v>
      </c>
      <c r="AD268">
        <f>ROUND(([1]Source!CA145/100)*ROUND(([1]Source!AF145*[1]Source!AV145)*[1]Source!I145, 2), 2)</f>
        <v>118547.37</v>
      </c>
      <c r="AE268">
        <f>[1]Source!Y145</f>
        <v>118547.37</v>
      </c>
      <c r="AF268">
        <f>ROUND((175/100)*ROUND(([1]Source!AE145*[1]Source!AV145)*[1]Source!I145, 2), 2)</f>
        <v>0</v>
      </c>
      <c r="AG268">
        <f>ROUND((108/100)*ROUND([1]Source!CS145*[1]Source!I145, 2), 2)</f>
        <v>0</v>
      </c>
    </row>
    <row r="269" spans="1:33" x14ac:dyDescent="0.2">
      <c r="C269" s="40" t="str">
        <f>"Объем: "&amp;[1]Source!I145&amp;"=7199/"&amp;"100"</f>
        <v>Объем: 71,99=7199/100</v>
      </c>
      <c r="M269"/>
      <c r="N269"/>
      <c r="O269"/>
      <c r="P269"/>
      <c r="Q269"/>
    </row>
    <row r="270" spans="1:33" ht="14.25" x14ac:dyDescent="0.2">
      <c r="A270" s="31"/>
      <c r="B270" s="31"/>
      <c r="C270" s="31" t="s">
        <v>34</v>
      </c>
      <c r="D270" s="32"/>
      <c r="E270" s="4"/>
      <c r="F270" s="33">
        <f>[1]Source!AO145</f>
        <v>12.4</v>
      </c>
      <c r="G270" s="34" t="str">
        <f>[1]Source!DG145</f>
        <v>)*4*332</v>
      </c>
      <c r="H270" s="4">
        <f>[1]Source!AV145</f>
        <v>1</v>
      </c>
      <c r="I270" s="4">
        <f>IF([1]Source!BA145&lt;&gt; 0, [1]Source!BA145, 1)</f>
        <v>1</v>
      </c>
      <c r="J270" s="33">
        <f>[1]Source!S145</f>
        <v>1185473.73</v>
      </c>
      <c r="K270" s="33"/>
      <c r="M270"/>
      <c r="N270"/>
      <c r="O270"/>
      <c r="P270"/>
      <c r="Q270"/>
    </row>
    <row r="271" spans="1:33" ht="14.25" x14ac:dyDescent="0.2">
      <c r="A271" s="31"/>
      <c r="B271" s="31"/>
      <c r="C271" s="31" t="s">
        <v>47</v>
      </c>
      <c r="D271" s="32"/>
      <c r="E271" s="4"/>
      <c r="F271" s="33">
        <f>[1]Source!AL145</f>
        <v>0.69</v>
      </c>
      <c r="G271" s="34" t="str">
        <f>[1]Source!DD145</f>
        <v>)*4*332</v>
      </c>
      <c r="H271" s="4">
        <f>[1]Source!AW145</f>
        <v>1</v>
      </c>
      <c r="I271" s="4">
        <f>IF([1]Source!BC145&lt;&gt; 0, [1]Source!BC145, 1)</f>
        <v>1</v>
      </c>
      <c r="J271" s="33">
        <f>[1]Source!P145</f>
        <v>65965.88</v>
      </c>
      <c r="K271" s="33"/>
      <c r="M271"/>
      <c r="N271"/>
      <c r="O271"/>
      <c r="P271"/>
      <c r="Q271"/>
    </row>
    <row r="272" spans="1:33" ht="14.25" x14ac:dyDescent="0.2">
      <c r="A272" s="31"/>
      <c r="B272" s="31"/>
      <c r="C272" s="31" t="s">
        <v>40</v>
      </c>
      <c r="D272" s="32" t="s">
        <v>39</v>
      </c>
      <c r="E272" s="4">
        <f>[1]Source!AT145</f>
        <v>70</v>
      </c>
      <c r="F272" s="33"/>
      <c r="G272" s="34"/>
      <c r="H272" s="4"/>
      <c r="I272" s="4"/>
      <c r="J272" s="33">
        <f>SUM(AC268:AC271)</f>
        <v>829831.61</v>
      </c>
      <c r="K272" s="33"/>
      <c r="M272"/>
      <c r="N272"/>
      <c r="O272"/>
      <c r="P272"/>
      <c r="Q272"/>
    </row>
    <row r="273" spans="1:43" ht="14.25" x14ac:dyDescent="0.2">
      <c r="A273" s="31"/>
      <c r="B273" s="31"/>
      <c r="C273" s="31" t="s">
        <v>41</v>
      </c>
      <c r="D273" s="32" t="s">
        <v>39</v>
      </c>
      <c r="E273" s="4">
        <f>[1]Source!AU145</f>
        <v>10</v>
      </c>
      <c r="F273" s="33"/>
      <c r="G273" s="34"/>
      <c r="H273" s="4"/>
      <c r="I273" s="4"/>
      <c r="J273" s="33">
        <f>SUM(AE268:AE272)</f>
        <v>118547.37</v>
      </c>
      <c r="K273" s="33"/>
      <c r="M273"/>
      <c r="N273"/>
      <c r="O273"/>
      <c r="P273"/>
      <c r="Q273"/>
    </row>
    <row r="274" spans="1:43" ht="14.25" x14ac:dyDescent="0.2">
      <c r="A274" s="31"/>
      <c r="B274" s="31"/>
      <c r="C274" s="31" t="s">
        <v>42</v>
      </c>
      <c r="D274" s="32" t="s">
        <v>43</v>
      </c>
      <c r="E274" s="4">
        <f>[1]Source!AQ145</f>
        <v>0.05</v>
      </c>
      <c r="F274" s="33"/>
      <c r="G274" s="34" t="str">
        <f>[1]Source!DI145</f>
        <v>)*4*332</v>
      </c>
      <c r="H274" s="4">
        <f>[1]Source!AV145</f>
        <v>1</v>
      </c>
      <c r="I274" s="4"/>
      <c r="J274" s="33"/>
      <c r="K274" s="33">
        <f>[1]Source!U145</f>
        <v>4780.1360000000004</v>
      </c>
      <c r="M274"/>
      <c r="N274"/>
      <c r="O274"/>
      <c r="P274"/>
      <c r="Q274"/>
    </row>
    <row r="275" spans="1:43" ht="15" x14ac:dyDescent="0.25">
      <c r="A275" s="35"/>
      <c r="B275" s="35"/>
      <c r="C275" s="35"/>
      <c r="D275" s="35"/>
      <c r="E275" s="35"/>
      <c r="F275" s="35"/>
      <c r="G275" s="35"/>
      <c r="H275" s="35"/>
      <c r="I275" s="36">
        <f>J270+J271+J272+J273</f>
        <v>2199818.59</v>
      </c>
      <c r="J275" s="36"/>
      <c r="K275" s="37">
        <f>IF([1]Source!I145&lt;&gt;0, ROUND(I275/[1]Source!I145, 2), 0)</f>
        <v>30557.279999999999</v>
      </c>
      <c r="M275"/>
      <c r="N275"/>
      <c r="O275"/>
      <c r="P275"/>
      <c r="Q275"/>
      <c r="AA275" s="38">
        <f>I275</f>
        <v>2199818.59</v>
      </c>
    </row>
    <row r="276" spans="1:43" x14ac:dyDescent="0.2">
      <c r="M276"/>
      <c r="N276"/>
      <c r="O276"/>
      <c r="P276"/>
      <c r="Q276"/>
    </row>
    <row r="277" spans="1:43" ht="30" x14ac:dyDescent="0.25">
      <c r="A277" s="42" t="str">
        <f>CONCATENATE("Итого по разделу: ",IF([1]Source!G147&lt;&gt;"Новый раздел", [1]Source!G147, ""))</f>
        <v>Итого по разделу: Содержание садово-парковых дорожек с мощением парковым, 100% пешеходным ( S= 7199 м2 ).</v>
      </c>
      <c r="B277" s="42"/>
      <c r="C277" s="42"/>
      <c r="D277" s="42"/>
      <c r="E277" s="42"/>
      <c r="F277" s="42"/>
      <c r="G277" s="42"/>
      <c r="H277" s="42"/>
      <c r="I277" s="43">
        <f>SUM(AA198:AA276)</f>
        <v>20368202.059999999</v>
      </c>
      <c r="J277" s="44"/>
      <c r="K277" s="47"/>
      <c r="L277" s="38">
        <f>I277</f>
        <v>20368202.059999999</v>
      </c>
      <c r="M277" s="2">
        <f>ROUND(I277*$I$4874,2)</f>
        <v>14710055</v>
      </c>
      <c r="N277" s="2">
        <f>ROUND(M277*1.2/105*100,2)</f>
        <v>16811491.43</v>
      </c>
      <c r="O277" s="2">
        <f>ROUND(N277*0.05,2)</f>
        <v>840574.57</v>
      </c>
      <c r="P277" s="2">
        <f>N277+O277</f>
        <v>17652066</v>
      </c>
      <c r="Q277" s="3">
        <v>15</v>
      </c>
      <c r="R277">
        <v>2</v>
      </c>
      <c r="S277" s="2">
        <v>3245410.06</v>
      </c>
      <c r="AQ277" s="46" t="str">
        <f>CONCATENATE("Итого по разделу: ",IF([1]Source!G147&lt;&gt;"Новый раздел", [1]Source!G147, ""))</f>
        <v>Итого по разделу: Содержание садово-парковых дорожек с мощением парковым, 100% пешеходным ( S= 7199 м2 ).</v>
      </c>
    </row>
    <row r="278" spans="1:43" x14ac:dyDescent="0.2">
      <c r="M278"/>
      <c r="N278"/>
      <c r="O278"/>
      <c r="P278"/>
      <c r="Q278"/>
    </row>
    <row r="279" spans="1:43" x14ac:dyDescent="0.2">
      <c r="M279"/>
      <c r="N279"/>
      <c r="O279"/>
      <c r="P279"/>
      <c r="Q279"/>
    </row>
    <row r="280" spans="1:43" ht="16.5" x14ac:dyDescent="0.25">
      <c r="A280" s="29" t="str">
        <f>CONCATENATE("Раздел: ",IF([1]Source!G177&lt;&gt;"Новый раздел", [1]Source!G177, ""))</f>
        <v>Раздел: Содержание дорожек с мощением, 100% пешеходным ( S= 4341,27 м2) ( МКЗ ).</v>
      </c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M280"/>
      <c r="N280"/>
      <c r="O280"/>
      <c r="P280"/>
      <c r="Q280"/>
    </row>
    <row r="281" spans="1:43" ht="42.75" x14ac:dyDescent="0.2">
      <c r="A281" s="31">
        <v>40</v>
      </c>
      <c r="B281" s="31" t="str">
        <f>[1]Source!F181</f>
        <v>калькуляция</v>
      </c>
      <c r="C281" s="31" t="str">
        <f>[1]Source!G181</f>
        <v>Подметание дорожек  механизированным способом ( S=4341,27 м2 *0,7=3038,89м2)</v>
      </c>
      <c r="D281" s="32" t="str">
        <f>[1]Source!H181</f>
        <v>м2</v>
      </c>
      <c r="E281" s="4">
        <f>[1]Source!I181</f>
        <v>3038.89</v>
      </c>
      <c r="F281" s="33"/>
      <c r="G281" s="34"/>
      <c r="H281" s="4"/>
      <c r="I281" s="4"/>
      <c r="J281" s="33"/>
      <c r="K281" s="33"/>
      <c r="M281"/>
      <c r="N281"/>
      <c r="O281"/>
      <c r="P281"/>
      <c r="Q281"/>
      <c r="AB281">
        <f>ROUND(([1]Source!BZ181/100)*ROUND(([1]Source!AF181*[1]Source!AV181)*[1]Source!I181, 2), 2)</f>
        <v>0</v>
      </c>
      <c r="AC281">
        <f>[1]Source!X181</f>
        <v>0</v>
      </c>
      <c r="AD281">
        <f>ROUND(([1]Source!CA181/100)*ROUND(([1]Source!AF181*[1]Source!AV181)*[1]Source!I181, 2), 2)</f>
        <v>0</v>
      </c>
      <c r="AE281">
        <f>[1]Source!Y181</f>
        <v>0</v>
      </c>
      <c r="AF281">
        <f>ROUND((175/100)*ROUND(([1]Source!AE181*[1]Source!AV181)*[1]Source!I181, 2), 2)</f>
        <v>0</v>
      </c>
      <c r="AG281">
        <f>ROUND((108/100)*ROUND([1]Source!CS181*[1]Source!I181, 2), 2)</f>
        <v>0</v>
      </c>
    </row>
    <row r="282" spans="1:43" ht="14.25" x14ac:dyDescent="0.2">
      <c r="A282" s="31"/>
      <c r="B282" s="31"/>
      <c r="C282" s="31" t="s">
        <v>33</v>
      </c>
      <c r="D282" s="32"/>
      <c r="E282" s="4"/>
      <c r="F282" s="33">
        <f>[1]Source!AM181</f>
        <v>0.65</v>
      </c>
      <c r="G282" s="34" t="str">
        <f>[1]Source!DE181</f>
        <v>)*4*164</v>
      </c>
      <c r="H282" s="4">
        <f>[1]Source!AV181</f>
        <v>1</v>
      </c>
      <c r="I282" s="4">
        <f>IF([1]Source!BB181&lt;&gt; 0, [1]Source!BB181, 1)</f>
        <v>1</v>
      </c>
      <c r="J282" s="33">
        <f>[1]Source!Q181</f>
        <v>1295782.7</v>
      </c>
      <c r="K282" s="33"/>
      <c r="M282"/>
      <c r="N282"/>
      <c r="O282"/>
      <c r="P282"/>
      <c r="Q282"/>
    </row>
    <row r="283" spans="1:43" ht="15" x14ac:dyDescent="0.25">
      <c r="A283" s="35"/>
      <c r="B283" s="35"/>
      <c r="C283" s="35"/>
      <c r="D283" s="35"/>
      <c r="E283" s="35"/>
      <c r="F283" s="35"/>
      <c r="G283" s="35"/>
      <c r="H283" s="35"/>
      <c r="I283" s="36">
        <f>J282</f>
        <v>1295782.7</v>
      </c>
      <c r="J283" s="36"/>
      <c r="K283" s="37">
        <f>IF([1]Source!I181&lt;&gt;0, ROUND(I283/[1]Source!I181, 2), 0)</f>
        <v>426.4</v>
      </c>
      <c r="M283"/>
      <c r="N283"/>
      <c r="O283"/>
      <c r="P283"/>
      <c r="Q283"/>
      <c r="AA283" s="38">
        <f>I283</f>
        <v>1295782.7</v>
      </c>
    </row>
    <row r="284" spans="1:43" ht="28.5" x14ac:dyDescent="0.2">
      <c r="A284" s="31">
        <v>41</v>
      </c>
      <c r="B284" s="31" t="str">
        <f>[1]Source!F182</f>
        <v>калькуляция</v>
      </c>
      <c r="C284" s="31" t="str">
        <f>[1]Source!G182</f>
        <v>Подметание дорожек  вручную ( S=4341,27 м2*0,3=1302,38 м2)</v>
      </c>
      <c r="D284" s="32" t="str">
        <f>[1]Source!H182</f>
        <v>м2</v>
      </c>
      <c r="E284" s="4">
        <f>[1]Source!I182</f>
        <v>1302.3800000000001</v>
      </c>
      <c r="F284" s="33"/>
      <c r="G284" s="34"/>
      <c r="H284" s="4"/>
      <c r="I284" s="4"/>
      <c r="J284" s="33"/>
      <c r="K284" s="33"/>
      <c r="M284"/>
      <c r="N284"/>
      <c r="O284"/>
      <c r="P284"/>
      <c r="Q284"/>
      <c r="AB284">
        <f>ROUND(([1]Source!BZ182/100)*ROUND(([1]Source!AF182*[1]Source!AV182)*[1]Source!I182, 2), 2)</f>
        <v>0</v>
      </c>
      <c r="AC284">
        <f>[1]Source!X182</f>
        <v>0</v>
      </c>
      <c r="AD284">
        <f>ROUND(([1]Source!CA182/100)*ROUND(([1]Source!AF182*[1]Source!AV182)*[1]Source!I182, 2), 2)</f>
        <v>0</v>
      </c>
      <c r="AE284">
        <f>[1]Source!Y182</f>
        <v>0</v>
      </c>
      <c r="AF284">
        <f>ROUND((175/100)*ROUND(([1]Source!AE182*[1]Source!AV182)*[1]Source!I182, 2), 2)</f>
        <v>0</v>
      </c>
      <c r="AG284">
        <f>ROUND((108/100)*ROUND([1]Source!CS182*[1]Source!I182, 2), 2)</f>
        <v>0</v>
      </c>
    </row>
    <row r="285" spans="1:43" ht="14.25" x14ac:dyDescent="0.2">
      <c r="A285" s="31"/>
      <c r="B285" s="31"/>
      <c r="C285" s="31" t="s">
        <v>34</v>
      </c>
      <c r="D285" s="32"/>
      <c r="E285" s="4"/>
      <c r="F285" s="33">
        <f>[1]Source!AO182</f>
        <v>1.32</v>
      </c>
      <c r="G285" s="34" t="str">
        <f>[1]Source!DG182</f>
        <v>)*4*164</v>
      </c>
      <c r="H285" s="4">
        <f>[1]Source!AV182</f>
        <v>1</v>
      </c>
      <c r="I285" s="4">
        <f>IF([1]Source!BA182&lt;&gt; 0, [1]Source!BA182, 1)</f>
        <v>1</v>
      </c>
      <c r="J285" s="33">
        <f>[1]Source!S182</f>
        <v>1127756.8899999999</v>
      </c>
      <c r="K285" s="33"/>
      <c r="M285"/>
      <c r="N285"/>
      <c r="O285"/>
      <c r="P285"/>
      <c r="Q285"/>
    </row>
    <row r="286" spans="1:43" ht="15" x14ac:dyDescent="0.25">
      <c r="A286" s="35"/>
      <c r="B286" s="35"/>
      <c r="C286" s="35"/>
      <c r="D286" s="35"/>
      <c r="E286" s="35"/>
      <c r="F286" s="35"/>
      <c r="G286" s="35"/>
      <c r="H286" s="35"/>
      <c r="I286" s="36">
        <f>J285</f>
        <v>1127756.8899999999</v>
      </c>
      <c r="J286" s="36"/>
      <c r="K286" s="37">
        <f>IF([1]Source!I182&lt;&gt;0, ROUND(I286/[1]Source!I182, 2), 0)</f>
        <v>865.92</v>
      </c>
      <c r="M286"/>
      <c r="N286"/>
      <c r="O286"/>
      <c r="P286"/>
      <c r="Q286"/>
      <c r="AA286" s="38">
        <f>I286</f>
        <v>1127756.8899999999</v>
      </c>
    </row>
    <row r="287" spans="1:43" ht="28.5" x14ac:dyDescent="0.2">
      <c r="A287" s="31">
        <v>42</v>
      </c>
      <c r="B287" s="31" t="str">
        <f>[1]Source!F183</f>
        <v>калькуляция</v>
      </c>
      <c r="C287" s="31" t="str">
        <f>[1]Source!G183</f>
        <v>Мытье дорожек  механизированным способом( 30% от 4341,27 м2)</v>
      </c>
      <c r="D287" s="32" t="str">
        <f>[1]Source!H183</f>
        <v>м2</v>
      </c>
      <c r="E287" s="4">
        <f>[1]Source!I183</f>
        <v>1302.3800000000001</v>
      </c>
      <c r="F287" s="33"/>
      <c r="G287" s="34"/>
      <c r="H287" s="4"/>
      <c r="I287" s="4"/>
      <c r="J287" s="33"/>
      <c r="K287" s="33"/>
      <c r="M287"/>
      <c r="N287"/>
      <c r="O287"/>
      <c r="P287"/>
      <c r="Q287"/>
      <c r="AB287">
        <f>ROUND(([1]Source!BZ183/100)*ROUND(([1]Source!AF183*[1]Source!AV183)*[1]Source!I183, 2), 2)</f>
        <v>0</v>
      </c>
      <c r="AC287">
        <f>[1]Source!X183</f>
        <v>0</v>
      </c>
      <c r="AD287">
        <f>ROUND(([1]Source!CA183/100)*ROUND(([1]Source!AF183*[1]Source!AV183)*[1]Source!I183, 2), 2)</f>
        <v>0</v>
      </c>
      <c r="AE287">
        <f>[1]Source!Y183</f>
        <v>0</v>
      </c>
      <c r="AF287">
        <f>ROUND((175/100)*ROUND(([1]Source!AE183*[1]Source!AV183)*[1]Source!I183, 2), 2)</f>
        <v>0</v>
      </c>
      <c r="AG287">
        <f>ROUND((108/100)*ROUND([1]Source!CS183*[1]Source!I183, 2), 2)</f>
        <v>0</v>
      </c>
    </row>
    <row r="288" spans="1:43" ht="14.25" x14ac:dyDescent="0.2">
      <c r="A288" s="31"/>
      <c r="B288" s="31"/>
      <c r="C288" s="31" t="s">
        <v>33</v>
      </c>
      <c r="D288" s="32"/>
      <c r="E288" s="4"/>
      <c r="F288" s="33">
        <f>[1]Source!AM183</f>
        <v>3.28</v>
      </c>
      <c r="G288" s="34" t="str">
        <f>[1]Source!DE183</f>
        <v>)*1*164</v>
      </c>
      <c r="H288" s="4">
        <f>[1]Source!AV183</f>
        <v>1</v>
      </c>
      <c r="I288" s="4">
        <f>IF([1]Source!BB183&lt;&gt; 0, [1]Source!BB183, 1)</f>
        <v>1</v>
      </c>
      <c r="J288" s="33">
        <f>[1]Source!Q183</f>
        <v>700576.25</v>
      </c>
      <c r="K288" s="33"/>
      <c r="M288"/>
      <c r="N288"/>
      <c r="O288"/>
      <c r="P288"/>
      <c r="Q288"/>
    </row>
    <row r="289" spans="1:33" ht="57" x14ac:dyDescent="0.2">
      <c r="A289" s="31" t="s">
        <v>55</v>
      </c>
      <c r="B289" s="31" t="str">
        <f>[1]Source!F184</f>
        <v>цена поставщика</v>
      </c>
      <c r="C289" s="31" t="str">
        <f>[1]Source!G184</f>
        <v>Средство для механизированной мойки дорожных покрытий в зимнее время -ПГМ Жидкий хлористый кальций</v>
      </c>
      <c r="D289" s="32" t="str">
        <f>[1]Source!H184</f>
        <v>л</v>
      </c>
      <c r="E289" s="4">
        <f>[1]Source!I184</f>
        <v>64.077095999999997</v>
      </c>
      <c r="F289" s="33">
        <f>[1]Source!AK184</f>
        <v>11.77</v>
      </c>
      <c r="G289" s="39" t="s">
        <v>36</v>
      </c>
      <c r="H289" s="4">
        <f>[1]Source!AW184</f>
        <v>1</v>
      </c>
      <c r="I289" s="4">
        <f>IF([1]Source!BC184&lt;&gt; 0, [1]Source!BC184, 1)</f>
        <v>1</v>
      </c>
      <c r="J289" s="33">
        <f>[1]Source!O184</f>
        <v>754.19</v>
      </c>
      <c r="K289" s="33"/>
      <c r="M289"/>
      <c r="N289"/>
      <c r="O289"/>
      <c r="P289"/>
      <c r="Q289"/>
      <c r="AB289">
        <f>ROUND(([1]Source!BZ184/100)*ROUND(([1]Source!AF184*[1]Source!AV184)*[1]Source!I184, 2), 2)</f>
        <v>0</v>
      </c>
      <c r="AC289">
        <f>[1]Source!X184</f>
        <v>0</v>
      </c>
      <c r="AD289">
        <f>ROUND(([1]Source!CA184/100)*ROUND(([1]Source!AF184*[1]Source!AV184)*[1]Source!I184, 2), 2)</f>
        <v>0</v>
      </c>
      <c r="AE289">
        <f>[1]Source!Y184</f>
        <v>0</v>
      </c>
      <c r="AF289">
        <f>ROUND((175/100)*ROUND(([1]Source!AE184*[1]Source!AV184)*[1]Source!I184, 2), 2)</f>
        <v>0</v>
      </c>
      <c r="AG289">
        <f>ROUND((108/100)*ROUND([1]Source!CS184*[1]Source!I184, 2), 2)</f>
        <v>0</v>
      </c>
    </row>
    <row r="290" spans="1:33" ht="15" x14ac:dyDescent="0.25">
      <c r="A290" s="35"/>
      <c r="B290" s="35"/>
      <c r="C290" s="35"/>
      <c r="D290" s="35"/>
      <c r="E290" s="35"/>
      <c r="F290" s="35"/>
      <c r="G290" s="35"/>
      <c r="H290" s="35"/>
      <c r="I290" s="36">
        <f>J288+SUM(J289:J289)</f>
        <v>701330.44</v>
      </c>
      <c r="J290" s="36"/>
      <c r="K290" s="37">
        <f>IF([1]Source!I183&lt;&gt;0, ROUND(I290/[1]Source!I183, 2), 0)</f>
        <v>538.5</v>
      </c>
      <c r="M290"/>
      <c r="N290"/>
      <c r="O290"/>
      <c r="P290"/>
      <c r="Q290"/>
      <c r="AA290" s="38">
        <f>I290</f>
        <v>701330.44</v>
      </c>
    </row>
    <row r="291" spans="1:33" ht="42.75" x14ac:dyDescent="0.2">
      <c r="A291" s="31">
        <v>43</v>
      </c>
      <c r="B291" s="31" t="str">
        <f>[1]Source!F185</f>
        <v>5.3-1102-12-1/1</v>
      </c>
      <c r="C291" s="31" t="str">
        <f>[1]Source!G185</f>
        <v>Уборка снега средствами малой механизации( 70% от 4341,27 м2 , S=4341,27 м2*0,7=3038,89 м2 )</v>
      </c>
      <c r="D291" s="32" t="str">
        <f>[1]Source!H185</f>
        <v>1000 м2</v>
      </c>
      <c r="E291" s="4">
        <f>[1]Source!I185</f>
        <v>3.0388899999999999</v>
      </c>
      <c r="F291" s="33"/>
      <c r="G291" s="34"/>
      <c r="H291" s="4"/>
      <c r="I291" s="4"/>
      <c r="J291" s="33"/>
      <c r="K291" s="33"/>
      <c r="M291"/>
      <c r="N291"/>
      <c r="O291"/>
      <c r="P291"/>
      <c r="Q291"/>
      <c r="AB291">
        <f>ROUND(([1]Source!BZ185/100)*ROUND(([1]Source!AF185*[1]Source!AV185)*[1]Source!I185, 2), 2)</f>
        <v>0</v>
      </c>
      <c r="AC291">
        <f>[1]Source!X185</f>
        <v>0</v>
      </c>
      <c r="AD291">
        <f>ROUND(([1]Source!CA185/100)*ROUND(([1]Source!AF185*[1]Source!AV185)*[1]Source!I185, 2), 2)</f>
        <v>0</v>
      </c>
      <c r="AE291">
        <f>[1]Source!Y185</f>
        <v>0</v>
      </c>
      <c r="AF291">
        <f>ROUND((175/100)*ROUND(([1]Source!AE185*[1]Source!AV185)*[1]Source!I185, 2), 2)</f>
        <v>843329.9</v>
      </c>
      <c r="AG291">
        <f>ROUND((108/100)*ROUND([1]Source!CS185*[1]Source!I185, 2), 2)</f>
        <v>520455.02</v>
      </c>
    </row>
    <row r="292" spans="1:33" x14ac:dyDescent="0.2">
      <c r="C292" s="40" t="str">
        <f>"Объем: "&amp;[1]Source!I185&amp;"=3038,89/"&amp;"1000"</f>
        <v>Объем: 3,03889=3038,89/1000</v>
      </c>
      <c r="M292"/>
      <c r="N292"/>
      <c r="O292"/>
      <c r="P292"/>
      <c r="Q292"/>
    </row>
    <row r="293" spans="1:33" ht="14.25" x14ac:dyDescent="0.2">
      <c r="A293" s="31"/>
      <c r="B293" s="31"/>
      <c r="C293" s="31" t="s">
        <v>33</v>
      </c>
      <c r="D293" s="32"/>
      <c r="E293" s="4"/>
      <c r="F293" s="33">
        <f>[1]Source!AM185</f>
        <v>708.24</v>
      </c>
      <c r="G293" s="34" t="str">
        <f>[1]Source!DE185</f>
        <v>)*4*168</v>
      </c>
      <c r="H293" s="4">
        <f>[1]Source!AV185</f>
        <v>1</v>
      </c>
      <c r="I293" s="4">
        <f>IF([1]Source!BB185&lt;&gt; 0, [1]Source!BB185, 1)</f>
        <v>1</v>
      </c>
      <c r="J293" s="33">
        <f>[1]Source!Q185</f>
        <v>1446321.04</v>
      </c>
      <c r="K293" s="33"/>
      <c r="M293"/>
      <c r="N293"/>
      <c r="O293"/>
      <c r="P293"/>
      <c r="Q293"/>
    </row>
    <row r="294" spans="1:33" ht="14.25" x14ac:dyDescent="0.2">
      <c r="A294" s="31"/>
      <c r="B294" s="31"/>
      <c r="C294" s="31" t="s">
        <v>37</v>
      </c>
      <c r="D294" s="32"/>
      <c r="E294" s="4"/>
      <c r="F294" s="33">
        <f>[1]Source!AN185</f>
        <v>235.98</v>
      </c>
      <c r="G294" s="34" t="str">
        <f>[1]Source!DF185</f>
        <v>)*4*168</v>
      </c>
      <c r="H294" s="4">
        <f>[1]Source!AV185</f>
        <v>1</v>
      </c>
      <c r="I294" s="4">
        <f>IF([1]Source!BS185&lt;&gt; 0, [1]Source!BS185, 1)</f>
        <v>1</v>
      </c>
      <c r="J294" s="41">
        <f>[1]Source!R185</f>
        <v>481902.8</v>
      </c>
      <c r="K294" s="33"/>
      <c r="M294"/>
      <c r="N294"/>
      <c r="O294"/>
      <c r="P294"/>
      <c r="Q294"/>
    </row>
    <row r="295" spans="1:33" ht="14.25" x14ac:dyDescent="0.2">
      <c r="A295" s="31"/>
      <c r="B295" s="31"/>
      <c r="C295" s="31" t="s">
        <v>38</v>
      </c>
      <c r="D295" s="32" t="s">
        <v>39</v>
      </c>
      <c r="E295" s="4">
        <f>108</f>
        <v>108</v>
      </c>
      <c r="F295" s="33"/>
      <c r="G295" s="34"/>
      <c r="H295" s="4"/>
      <c r="I295" s="4"/>
      <c r="J295" s="33">
        <f>SUM(AG291:AG294)</f>
        <v>520455.02</v>
      </c>
      <c r="K295" s="33"/>
      <c r="M295"/>
      <c r="N295"/>
      <c r="O295"/>
      <c r="P295"/>
      <c r="Q295"/>
    </row>
    <row r="296" spans="1:33" ht="15" x14ac:dyDescent="0.25">
      <c r="A296" s="35"/>
      <c r="B296" s="35"/>
      <c r="C296" s="35"/>
      <c r="D296" s="35"/>
      <c r="E296" s="35"/>
      <c r="F296" s="35"/>
      <c r="G296" s="35"/>
      <c r="H296" s="35"/>
      <c r="I296" s="36">
        <f>J293+J295</f>
        <v>1966776.06</v>
      </c>
      <c r="J296" s="36"/>
      <c r="K296" s="37">
        <f>IF([1]Source!I185&lt;&gt;0, ROUND(I296/[1]Source!I185, 2), 0)</f>
        <v>647202.12</v>
      </c>
      <c r="M296"/>
      <c r="N296"/>
      <c r="O296"/>
      <c r="P296"/>
      <c r="Q296"/>
      <c r="AA296" s="38">
        <f>I296</f>
        <v>1966776.06</v>
      </c>
    </row>
    <row r="297" spans="1:33" ht="42.75" x14ac:dyDescent="0.2">
      <c r="A297" s="31">
        <v>44</v>
      </c>
      <c r="B297" s="31" t="str">
        <f>[1]Source!F186</f>
        <v>5.3-1102-8-1/1</v>
      </c>
      <c r="C297" s="31" t="str">
        <f>[1]Source!G186</f>
        <v>Уборка свежевыпавшего снега вручную толщиной слоя до 10 см ( S= 4341,27 м2* 0,1*0,7*0,5 =151,94м2)</v>
      </c>
      <c r="D297" s="32" t="str">
        <f>[1]Source!H186</f>
        <v>100 м2</v>
      </c>
      <c r="E297" s="4">
        <f>[1]Source!I186</f>
        <v>1.5194000000000001</v>
      </c>
      <c r="F297" s="33"/>
      <c r="G297" s="34"/>
      <c r="H297" s="4"/>
      <c r="I297" s="4"/>
      <c r="J297" s="33"/>
      <c r="K297" s="33"/>
      <c r="M297"/>
      <c r="N297"/>
      <c r="O297"/>
      <c r="P297"/>
      <c r="Q297"/>
      <c r="AB297">
        <f>ROUND(([1]Source!BZ186/100)*ROUND(([1]Source!AF186*[1]Source!AV186)*[1]Source!I186, 2), 2)</f>
        <v>115178.06</v>
      </c>
      <c r="AC297">
        <f>[1]Source!X186</f>
        <v>115178.06</v>
      </c>
      <c r="AD297">
        <f>ROUND(([1]Source!CA186/100)*ROUND(([1]Source!AF186*[1]Source!AV186)*[1]Source!I186, 2), 2)</f>
        <v>16454.009999999998</v>
      </c>
      <c r="AE297">
        <f>[1]Source!Y186</f>
        <v>16454.009999999998</v>
      </c>
      <c r="AF297">
        <f>ROUND((175/100)*ROUND(([1]Source!AE186*[1]Source!AV186)*[1]Source!I186, 2), 2)</f>
        <v>0</v>
      </c>
      <c r="AG297">
        <f>ROUND((108/100)*ROUND([1]Source!CS186*[1]Source!I186, 2), 2)</f>
        <v>0</v>
      </c>
    </row>
    <row r="298" spans="1:33" x14ac:dyDescent="0.2">
      <c r="C298" s="40" t="str">
        <f>"Объем: "&amp;[1]Source!I186&amp;"=151,94/"&amp;"100"</f>
        <v>Объем: 1,5194=151,94/100</v>
      </c>
      <c r="M298"/>
      <c r="N298"/>
      <c r="O298"/>
      <c r="P298"/>
      <c r="Q298"/>
    </row>
    <row r="299" spans="1:33" ht="14.25" x14ac:dyDescent="0.2">
      <c r="A299" s="31"/>
      <c r="B299" s="31"/>
      <c r="C299" s="31" t="s">
        <v>34</v>
      </c>
      <c r="D299" s="32"/>
      <c r="E299" s="4"/>
      <c r="F299" s="33">
        <f>[1]Source!AO186</f>
        <v>161.15</v>
      </c>
      <c r="G299" s="34" t="str">
        <f>[1]Source!DG186</f>
        <v>)*4*168</v>
      </c>
      <c r="H299" s="4">
        <f>[1]Source!AV186</f>
        <v>1</v>
      </c>
      <c r="I299" s="4">
        <f>IF([1]Source!BA186&lt;&gt; 0, [1]Source!BA186, 1)</f>
        <v>1</v>
      </c>
      <c r="J299" s="33">
        <f>[1]Source!S186</f>
        <v>164540.07999999999</v>
      </c>
      <c r="K299" s="33"/>
      <c r="M299"/>
      <c r="N299"/>
      <c r="O299"/>
      <c r="P299"/>
      <c r="Q299"/>
    </row>
    <row r="300" spans="1:33" ht="14.25" x14ac:dyDescent="0.2">
      <c r="A300" s="31"/>
      <c r="B300" s="31"/>
      <c r="C300" s="31" t="s">
        <v>40</v>
      </c>
      <c r="D300" s="32" t="s">
        <v>39</v>
      </c>
      <c r="E300" s="4">
        <f>[1]Source!AT186</f>
        <v>70</v>
      </c>
      <c r="F300" s="33"/>
      <c r="G300" s="34"/>
      <c r="H300" s="4"/>
      <c r="I300" s="4"/>
      <c r="J300" s="33">
        <f>SUM(AC297:AC299)</f>
        <v>115178.06</v>
      </c>
      <c r="K300" s="33"/>
      <c r="M300"/>
      <c r="N300"/>
      <c r="O300"/>
      <c r="P300"/>
      <c r="Q300"/>
    </row>
    <row r="301" spans="1:33" ht="14.25" x14ac:dyDescent="0.2">
      <c r="A301" s="31"/>
      <c r="B301" s="31"/>
      <c r="C301" s="31" t="s">
        <v>41</v>
      </c>
      <c r="D301" s="32" t="s">
        <v>39</v>
      </c>
      <c r="E301" s="4">
        <f>[1]Source!AU186</f>
        <v>10</v>
      </c>
      <c r="F301" s="33"/>
      <c r="G301" s="34"/>
      <c r="H301" s="4"/>
      <c r="I301" s="4"/>
      <c r="J301" s="33">
        <f>SUM(AE297:AE300)</f>
        <v>16454.009999999998</v>
      </c>
      <c r="K301" s="33"/>
      <c r="M301"/>
      <c r="N301"/>
      <c r="O301"/>
      <c r="P301"/>
      <c r="Q301"/>
    </row>
    <row r="302" spans="1:33" ht="14.25" x14ac:dyDescent="0.2">
      <c r="A302" s="31"/>
      <c r="B302" s="31"/>
      <c r="C302" s="31" t="s">
        <v>42</v>
      </c>
      <c r="D302" s="32" t="s">
        <v>43</v>
      </c>
      <c r="E302" s="4">
        <f>[1]Source!AQ186</f>
        <v>0.65</v>
      </c>
      <c r="F302" s="33"/>
      <c r="G302" s="34" t="str">
        <f>[1]Source!DI186</f>
        <v>)*4*168</v>
      </c>
      <c r="H302" s="4">
        <f>[1]Source!AV186</f>
        <v>1</v>
      </c>
      <c r="I302" s="4"/>
      <c r="J302" s="33"/>
      <c r="K302" s="33">
        <f>[1]Source!U186</f>
        <v>663.67392000000007</v>
      </c>
      <c r="M302"/>
      <c r="N302"/>
      <c r="O302"/>
      <c r="P302"/>
      <c r="Q302"/>
    </row>
    <row r="303" spans="1:33" ht="15" x14ac:dyDescent="0.25">
      <c r="A303" s="35"/>
      <c r="B303" s="35"/>
      <c r="C303" s="35"/>
      <c r="D303" s="35"/>
      <c r="E303" s="35"/>
      <c r="F303" s="35"/>
      <c r="G303" s="35"/>
      <c r="H303" s="35"/>
      <c r="I303" s="36">
        <f>J299+J300+J301</f>
        <v>296172.15000000002</v>
      </c>
      <c r="J303" s="36"/>
      <c r="K303" s="37">
        <f>IF([1]Source!I186&lt;&gt;0, ROUND(I303/[1]Source!I186, 2), 0)</f>
        <v>194927.04</v>
      </c>
      <c r="M303"/>
      <c r="N303"/>
      <c r="O303"/>
      <c r="P303"/>
      <c r="Q303"/>
      <c r="AA303" s="38">
        <f>I303</f>
        <v>296172.15000000002</v>
      </c>
    </row>
    <row r="304" spans="1:33" ht="28.5" x14ac:dyDescent="0.2">
      <c r="A304" s="31">
        <v>45</v>
      </c>
      <c r="B304" s="31" t="str">
        <f>[1]Source!F187</f>
        <v>5.3-1102-8-3/1</v>
      </c>
      <c r="C304" s="31" t="str">
        <f>[1]Source!G187</f>
        <v>Уборка слежавшегося снега вручную( S=4341,27 м2*0,1*0,7*0,5= м2)</v>
      </c>
      <c r="D304" s="32" t="str">
        <f>[1]Source!H187</f>
        <v>100 м2</v>
      </c>
      <c r="E304" s="4">
        <f>[1]Source!I187</f>
        <v>1.5194000000000001</v>
      </c>
      <c r="F304" s="33"/>
      <c r="G304" s="34"/>
      <c r="H304" s="4"/>
      <c r="I304" s="4"/>
      <c r="J304" s="33"/>
      <c r="K304" s="33"/>
      <c r="M304"/>
      <c r="N304"/>
      <c r="O304"/>
      <c r="P304"/>
      <c r="Q304"/>
      <c r="AB304">
        <f>ROUND(([1]Source!BZ187/100)*ROUND(([1]Source!AF187*[1]Source!AV187)*[1]Source!I187, 2), 2)</f>
        <v>67779.23</v>
      </c>
      <c r="AC304">
        <f>[1]Source!X187</f>
        <v>67779.23</v>
      </c>
      <c r="AD304">
        <f>ROUND(([1]Source!CA187/100)*ROUND(([1]Source!AF187*[1]Source!AV187)*[1]Source!I187, 2), 2)</f>
        <v>9682.75</v>
      </c>
      <c r="AE304">
        <f>[1]Source!Y187</f>
        <v>9682.75</v>
      </c>
      <c r="AF304">
        <f>ROUND((175/100)*ROUND(([1]Source!AE187*[1]Source!AV187)*[1]Source!I187, 2), 2)</f>
        <v>0</v>
      </c>
      <c r="AG304">
        <f>ROUND((108/100)*ROUND([1]Source!CS187*[1]Source!I187, 2), 2)</f>
        <v>0</v>
      </c>
    </row>
    <row r="305" spans="1:33" x14ac:dyDescent="0.2">
      <c r="C305" s="40" t="str">
        <f>"Объем: "&amp;[1]Source!I187&amp;"=151,94/"&amp;"100"</f>
        <v>Объем: 1,5194=151,94/100</v>
      </c>
      <c r="M305"/>
      <c r="N305"/>
      <c r="O305"/>
      <c r="P305"/>
      <c r="Q305"/>
    </row>
    <row r="306" spans="1:33" ht="14.25" x14ac:dyDescent="0.2">
      <c r="A306" s="31"/>
      <c r="B306" s="31"/>
      <c r="C306" s="31" t="s">
        <v>34</v>
      </c>
      <c r="D306" s="32"/>
      <c r="E306" s="4"/>
      <c r="F306" s="33">
        <f>[1]Source!AO187</f>
        <v>379.33</v>
      </c>
      <c r="G306" s="34" t="str">
        <f>[1]Source!DG187</f>
        <v>)*1*168</v>
      </c>
      <c r="H306" s="4">
        <f>[1]Source!AV187</f>
        <v>1</v>
      </c>
      <c r="I306" s="4">
        <f>IF([1]Source!BA187&lt;&gt; 0, [1]Source!BA187, 1)</f>
        <v>1</v>
      </c>
      <c r="J306" s="33">
        <f>[1]Source!S187</f>
        <v>96827.47</v>
      </c>
      <c r="K306" s="33"/>
      <c r="M306"/>
      <c r="N306"/>
      <c r="O306"/>
      <c r="P306"/>
      <c r="Q306"/>
    </row>
    <row r="307" spans="1:33" ht="14.25" x14ac:dyDescent="0.2">
      <c r="A307" s="31"/>
      <c r="B307" s="31"/>
      <c r="C307" s="31" t="s">
        <v>40</v>
      </c>
      <c r="D307" s="32" t="s">
        <v>39</v>
      </c>
      <c r="E307" s="4">
        <f>[1]Source!AT187</f>
        <v>70</v>
      </c>
      <c r="F307" s="33"/>
      <c r="G307" s="34"/>
      <c r="H307" s="4"/>
      <c r="I307" s="4"/>
      <c r="J307" s="33">
        <f>SUM(AC304:AC306)</f>
        <v>67779.23</v>
      </c>
      <c r="K307" s="33"/>
      <c r="M307"/>
      <c r="N307"/>
      <c r="O307"/>
      <c r="P307"/>
      <c r="Q307"/>
    </row>
    <row r="308" spans="1:33" ht="14.25" x14ac:dyDescent="0.2">
      <c r="A308" s="31"/>
      <c r="B308" s="31"/>
      <c r="C308" s="31" t="s">
        <v>41</v>
      </c>
      <c r="D308" s="32" t="s">
        <v>39</v>
      </c>
      <c r="E308" s="4">
        <f>[1]Source!AU187</f>
        <v>10</v>
      </c>
      <c r="F308" s="33"/>
      <c r="G308" s="34"/>
      <c r="H308" s="4"/>
      <c r="I308" s="4"/>
      <c r="J308" s="33">
        <f>SUM(AE304:AE307)</f>
        <v>9682.75</v>
      </c>
      <c r="K308" s="33"/>
      <c r="M308"/>
      <c r="N308"/>
      <c r="O308"/>
      <c r="P308"/>
      <c r="Q308"/>
    </row>
    <row r="309" spans="1:33" ht="14.25" x14ac:dyDescent="0.2">
      <c r="A309" s="31"/>
      <c r="B309" s="31"/>
      <c r="C309" s="31" t="s">
        <v>42</v>
      </c>
      <c r="D309" s="32" t="s">
        <v>43</v>
      </c>
      <c r="E309" s="4">
        <f>[1]Source!AQ187</f>
        <v>1.53</v>
      </c>
      <c r="F309" s="33"/>
      <c r="G309" s="34" t="str">
        <f>[1]Source!DI187</f>
        <v>)*1*168</v>
      </c>
      <c r="H309" s="4">
        <f>[1]Source!AV187</f>
        <v>1</v>
      </c>
      <c r="I309" s="4"/>
      <c r="J309" s="33"/>
      <c r="K309" s="33">
        <f>[1]Source!U187</f>
        <v>390.54657600000007</v>
      </c>
      <c r="M309"/>
      <c r="N309"/>
      <c r="O309"/>
      <c r="P309"/>
      <c r="Q309"/>
    </row>
    <row r="310" spans="1:33" ht="15" x14ac:dyDescent="0.25">
      <c r="A310" s="35"/>
      <c r="B310" s="35"/>
      <c r="C310" s="35"/>
      <c r="D310" s="35"/>
      <c r="E310" s="35"/>
      <c r="F310" s="35"/>
      <c r="G310" s="35"/>
      <c r="H310" s="35"/>
      <c r="I310" s="36">
        <f>J306+J307+J308</f>
        <v>174289.45</v>
      </c>
      <c r="J310" s="36"/>
      <c r="K310" s="37">
        <f>IF([1]Source!I187&lt;&gt;0, ROUND(I310/[1]Source!I187, 2), 0)</f>
        <v>114709.39</v>
      </c>
      <c r="M310"/>
      <c r="N310"/>
      <c r="O310"/>
      <c r="P310"/>
      <c r="Q310"/>
      <c r="AA310" s="38">
        <f>I310</f>
        <v>174289.45</v>
      </c>
    </row>
    <row r="311" spans="1:33" ht="42.75" x14ac:dyDescent="0.2">
      <c r="A311" s="31">
        <v>46</v>
      </c>
      <c r="B311" s="31" t="str">
        <f>[1]Source!F188</f>
        <v>5.3-1102-8-1/1</v>
      </c>
      <c r="C311" s="31" t="str">
        <f>[1]Source!G188</f>
        <v>Уборка свежевыпавшего снега вручную толщиной слоя до 10 см ( S= 4341,27 м2* 0,1*0,3*0,5 =65,12м2)</v>
      </c>
      <c r="D311" s="32" t="str">
        <f>[1]Source!H188</f>
        <v>100 м2</v>
      </c>
      <c r="E311" s="4">
        <f>[1]Source!I188</f>
        <v>0.6512</v>
      </c>
      <c r="F311" s="33"/>
      <c r="G311" s="34"/>
      <c r="H311" s="4"/>
      <c r="I311" s="4"/>
      <c r="J311" s="33"/>
      <c r="K311" s="33"/>
      <c r="M311"/>
      <c r="N311"/>
      <c r="O311"/>
      <c r="P311"/>
      <c r="Q311"/>
      <c r="AB311">
        <f>ROUND(([1]Source!BZ188/100)*ROUND(([1]Source!AF188*[1]Source!AV188)*[1]Source!I188, 2), 2)</f>
        <v>49364.19</v>
      </c>
      <c r="AC311">
        <f>[1]Source!X188</f>
        <v>49364.19</v>
      </c>
      <c r="AD311">
        <f>ROUND(([1]Source!CA188/100)*ROUND(([1]Source!AF188*[1]Source!AV188)*[1]Source!I188, 2), 2)</f>
        <v>7052.03</v>
      </c>
      <c r="AE311">
        <f>[1]Source!Y188</f>
        <v>7052.03</v>
      </c>
      <c r="AF311">
        <f>ROUND((175/100)*ROUND(([1]Source!AE188*[1]Source!AV188)*[1]Source!I188, 2), 2)</f>
        <v>0</v>
      </c>
      <c r="AG311">
        <f>ROUND((108/100)*ROUND([1]Source!CS188*[1]Source!I188, 2), 2)</f>
        <v>0</v>
      </c>
    </row>
    <row r="312" spans="1:33" x14ac:dyDescent="0.2">
      <c r="C312" s="40" t="str">
        <f>"Объем: "&amp;[1]Source!I188&amp;"=65,12/"&amp;"100"</f>
        <v>Объем: 0,6512=65,12/100</v>
      </c>
      <c r="M312"/>
      <c r="N312"/>
      <c r="O312"/>
      <c r="P312"/>
      <c r="Q312"/>
    </row>
    <row r="313" spans="1:33" ht="14.25" x14ac:dyDescent="0.2">
      <c r="A313" s="31"/>
      <c r="B313" s="31"/>
      <c r="C313" s="31" t="s">
        <v>34</v>
      </c>
      <c r="D313" s="32"/>
      <c r="E313" s="4"/>
      <c r="F313" s="33">
        <f>[1]Source!AO188</f>
        <v>161.15</v>
      </c>
      <c r="G313" s="34" t="str">
        <f>[1]Source!DG188</f>
        <v>)*4*168</v>
      </c>
      <c r="H313" s="4">
        <f>[1]Source!AV188</f>
        <v>1</v>
      </c>
      <c r="I313" s="4">
        <f>IF([1]Source!BA188&lt;&gt; 0, [1]Source!BA188, 1)</f>
        <v>1</v>
      </c>
      <c r="J313" s="33">
        <f>[1]Source!S188</f>
        <v>70520.27</v>
      </c>
      <c r="K313" s="33"/>
      <c r="M313"/>
      <c r="N313"/>
      <c r="O313"/>
      <c r="P313"/>
      <c r="Q313"/>
    </row>
    <row r="314" spans="1:33" ht="14.25" x14ac:dyDescent="0.2">
      <c r="A314" s="31"/>
      <c r="B314" s="31"/>
      <c r="C314" s="31" t="s">
        <v>40</v>
      </c>
      <c r="D314" s="32" t="s">
        <v>39</v>
      </c>
      <c r="E314" s="4">
        <f>[1]Source!AT188</f>
        <v>70</v>
      </c>
      <c r="F314" s="33"/>
      <c r="G314" s="34"/>
      <c r="H314" s="4"/>
      <c r="I314" s="4"/>
      <c r="J314" s="33">
        <f>SUM(AC311:AC313)</f>
        <v>49364.19</v>
      </c>
      <c r="K314" s="33"/>
      <c r="M314"/>
      <c r="N314"/>
      <c r="O314"/>
      <c r="P314"/>
      <c r="Q314"/>
    </row>
    <row r="315" spans="1:33" ht="14.25" x14ac:dyDescent="0.2">
      <c r="A315" s="31"/>
      <c r="B315" s="31"/>
      <c r="C315" s="31" t="s">
        <v>41</v>
      </c>
      <c r="D315" s="32" t="s">
        <v>39</v>
      </c>
      <c r="E315" s="4">
        <f>[1]Source!AU188</f>
        <v>10</v>
      </c>
      <c r="F315" s="33"/>
      <c r="G315" s="34"/>
      <c r="H315" s="4"/>
      <c r="I315" s="4"/>
      <c r="J315" s="33">
        <f>SUM(AE311:AE314)</f>
        <v>7052.03</v>
      </c>
      <c r="K315" s="33"/>
      <c r="M315"/>
      <c r="N315"/>
      <c r="O315"/>
      <c r="P315"/>
      <c r="Q315"/>
    </row>
    <row r="316" spans="1:33" ht="14.25" x14ac:dyDescent="0.2">
      <c r="A316" s="31"/>
      <c r="B316" s="31"/>
      <c r="C316" s="31" t="s">
        <v>42</v>
      </c>
      <c r="D316" s="32" t="s">
        <v>43</v>
      </c>
      <c r="E316" s="4">
        <f>[1]Source!AQ188</f>
        <v>0.65</v>
      </c>
      <c r="F316" s="33"/>
      <c r="G316" s="34" t="str">
        <f>[1]Source!DI188</f>
        <v>)*4*168</v>
      </c>
      <c r="H316" s="4">
        <f>[1]Source!AV188</f>
        <v>1</v>
      </c>
      <c r="I316" s="4"/>
      <c r="J316" s="33"/>
      <c r="K316" s="33">
        <f>[1]Source!U188</f>
        <v>284.44416000000001</v>
      </c>
      <c r="M316"/>
      <c r="N316"/>
      <c r="O316"/>
      <c r="P316"/>
      <c r="Q316"/>
    </row>
    <row r="317" spans="1:33" ht="15" x14ac:dyDescent="0.25">
      <c r="A317" s="35"/>
      <c r="B317" s="35"/>
      <c r="C317" s="35"/>
      <c r="D317" s="35"/>
      <c r="E317" s="35"/>
      <c r="F317" s="35"/>
      <c r="G317" s="35"/>
      <c r="H317" s="35"/>
      <c r="I317" s="36">
        <f>J313+J314+J315</f>
        <v>126936.49</v>
      </c>
      <c r="J317" s="36"/>
      <c r="K317" s="37">
        <f>IF([1]Source!I188&lt;&gt;0, ROUND(I317/[1]Source!I188, 2), 0)</f>
        <v>194927.04</v>
      </c>
      <c r="M317"/>
      <c r="N317"/>
      <c r="O317"/>
      <c r="P317"/>
      <c r="Q317"/>
      <c r="AA317" s="38">
        <f>I317</f>
        <v>126936.49</v>
      </c>
    </row>
    <row r="318" spans="1:33" ht="57" x14ac:dyDescent="0.2">
      <c r="A318" s="31">
        <v>47</v>
      </c>
      <c r="B318" s="31" t="str">
        <f>[1]Source!F189</f>
        <v>5.3-1102-8-2/1</v>
      </c>
      <c r="C318" s="31" t="str">
        <f>[1]Source!G189</f>
        <v>Уборка свежевыпавшего снега вручную, добавлять на каждые следующие 10 см увеличения толщины слоя</v>
      </c>
      <c r="D318" s="32" t="str">
        <f>[1]Source!H189</f>
        <v>100 м2</v>
      </c>
      <c r="E318" s="4">
        <f>[1]Source!I189</f>
        <v>0.6512</v>
      </c>
      <c r="F318" s="33"/>
      <c r="G318" s="34"/>
      <c r="H318" s="4"/>
      <c r="I318" s="4"/>
      <c r="J318" s="33"/>
      <c r="K318" s="33"/>
      <c r="M318"/>
      <c r="N318"/>
      <c r="O318"/>
      <c r="P318"/>
      <c r="Q318"/>
      <c r="AB318">
        <f>ROUND(([1]Source!BZ189/100)*ROUND(([1]Source!AF189*[1]Source!AV189)*[1]Source!I189, 2), 2)</f>
        <v>35695.99</v>
      </c>
      <c r="AC318">
        <f>[1]Source!X189</f>
        <v>35695.99</v>
      </c>
      <c r="AD318">
        <f>ROUND(([1]Source!CA189/100)*ROUND(([1]Source!AF189*[1]Source!AV189)*[1]Source!I189, 2), 2)</f>
        <v>5099.43</v>
      </c>
      <c r="AE318">
        <f>[1]Source!Y189</f>
        <v>5099.43</v>
      </c>
      <c r="AF318">
        <f>ROUND((175/100)*ROUND(([1]Source!AE189*[1]Source!AV189)*[1]Source!I189, 2), 2)</f>
        <v>0</v>
      </c>
      <c r="AG318">
        <f>ROUND((108/100)*ROUND([1]Source!CS189*[1]Source!I189, 2), 2)</f>
        <v>0</v>
      </c>
    </row>
    <row r="319" spans="1:33" x14ac:dyDescent="0.2">
      <c r="C319" s="40" t="str">
        <f>"Объем: "&amp;[1]Source!I189&amp;"=65,12/"&amp;"100"</f>
        <v>Объем: 0,6512=65,12/100</v>
      </c>
      <c r="M319"/>
      <c r="N319"/>
      <c r="O319"/>
      <c r="P319"/>
      <c r="Q319"/>
    </row>
    <row r="320" spans="1:33" ht="14.25" x14ac:dyDescent="0.2">
      <c r="A320" s="31"/>
      <c r="B320" s="31"/>
      <c r="C320" s="31" t="s">
        <v>34</v>
      </c>
      <c r="D320" s="32"/>
      <c r="E320" s="4"/>
      <c r="F320" s="33">
        <f>[1]Source!AO189</f>
        <v>116.53</v>
      </c>
      <c r="G320" s="34" t="str">
        <f>[1]Source!DG189</f>
        <v>)*4*168</v>
      </c>
      <c r="H320" s="4">
        <f>[1]Source!AV189</f>
        <v>1</v>
      </c>
      <c r="I320" s="4">
        <f>IF([1]Source!BA189&lt;&gt; 0, [1]Source!BA189, 1)</f>
        <v>1</v>
      </c>
      <c r="J320" s="33">
        <f>[1]Source!S189</f>
        <v>50994.27</v>
      </c>
      <c r="K320" s="33"/>
      <c r="M320"/>
      <c r="N320"/>
      <c r="O320"/>
      <c r="P320"/>
      <c r="Q320"/>
    </row>
    <row r="321" spans="1:33" ht="14.25" x14ac:dyDescent="0.2">
      <c r="A321" s="31"/>
      <c r="B321" s="31"/>
      <c r="C321" s="31" t="s">
        <v>40</v>
      </c>
      <c r="D321" s="32" t="s">
        <v>39</v>
      </c>
      <c r="E321" s="4">
        <f>[1]Source!AT189</f>
        <v>70</v>
      </c>
      <c r="F321" s="33"/>
      <c r="G321" s="34"/>
      <c r="H321" s="4"/>
      <c r="I321" s="4"/>
      <c r="J321" s="33">
        <f>SUM(AC318:AC320)</f>
        <v>35695.99</v>
      </c>
      <c r="K321" s="33"/>
      <c r="M321"/>
      <c r="N321"/>
      <c r="O321"/>
      <c r="P321"/>
      <c r="Q321"/>
    </row>
    <row r="322" spans="1:33" ht="14.25" x14ac:dyDescent="0.2">
      <c r="A322" s="31"/>
      <c r="B322" s="31"/>
      <c r="C322" s="31" t="s">
        <v>41</v>
      </c>
      <c r="D322" s="32" t="s">
        <v>39</v>
      </c>
      <c r="E322" s="4">
        <f>[1]Source!AU189</f>
        <v>10</v>
      </c>
      <c r="F322" s="33"/>
      <c r="G322" s="34"/>
      <c r="H322" s="4"/>
      <c r="I322" s="4"/>
      <c r="J322" s="33">
        <f>SUM(AE318:AE321)</f>
        <v>5099.43</v>
      </c>
      <c r="K322" s="33"/>
      <c r="M322"/>
      <c r="N322"/>
      <c r="O322"/>
      <c r="P322"/>
      <c r="Q322"/>
    </row>
    <row r="323" spans="1:33" ht="14.25" x14ac:dyDescent="0.2">
      <c r="A323" s="31"/>
      <c r="B323" s="31"/>
      <c r="C323" s="31" t="s">
        <v>42</v>
      </c>
      <c r="D323" s="32" t="s">
        <v>43</v>
      </c>
      <c r="E323" s="4">
        <f>[1]Source!AQ189</f>
        <v>0.47</v>
      </c>
      <c r="F323" s="33"/>
      <c r="G323" s="34" t="str">
        <f>[1]Source!DI189</f>
        <v>)*4*168</v>
      </c>
      <c r="H323" s="4">
        <f>[1]Source!AV189</f>
        <v>1</v>
      </c>
      <c r="I323" s="4"/>
      <c r="J323" s="33"/>
      <c r="K323" s="33">
        <f>[1]Source!U189</f>
        <v>205.67500799999999</v>
      </c>
      <c r="M323"/>
      <c r="N323"/>
      <c r="O323"/>
      <c r="P323"/>
      <c r="Q323"/>
    </row>
    <row r="324" spans="1:33" ht="15" x14ac:dyDescent="0.25">
      <c r="A324" s="35"/>
      <c r="B324" s="35"/>
      <c r="C324" s="35"/>
      <c r="D324" s="35"/>
      <c r="E324" s="35"/>
      <c r="F324" s="35"/>
      <c r="G324" s="35"/>
      <c r="H324" s="35"/>
      <c r="I324" s="36">
        <f>J320+J321+J322</f>
        <v>91789.69</v>
      </c>
      <c r="J324" s="36"/>
      <c r="K324" s="37">
        <f>IF([1]Source!I189&lt;&gt;0, ROUND(I324/[1]Source!I189, 2), 0)</f>
        <v>140954.68</v>
      </c>
      <c r="M324"/>
      <c r="N324"/>
      <c r="O324"/>
      <c r="P324"/>
      <c r="Q324"/>
      <c r="AA324" s="38">
        <f>I324</f>
        <v>91789.69</v>
      </c>
    </row>
    <row r="325" spans="1:33" ht="57" x14ac:dyDescent="0.2">
      <c r="A325" s="31">
        <v>48</v>
      </c>
      <c r="B325" s="31" t="str">
        <f>[1]Source!F190</f>
        <v>5.3-1102-24-1/1</v>
      </c>
      <c r="C325" s="31" t="str">
        <f>[1]Source!G190</f>
        <v>Уборка свежевыпавшего снега ручной самоходной машиной - ширина захвата 120 см( 20% от 4341,27 м2, V= 4341,27 м2 *0,2= 868,25 м2 )</v>
      </c>
      <c r="D325" s="32" t="str">
        <f>[1]Source!H190</f>
        <v>100 м2</v>
      </c>
      <c r="E325" s="4">
        <f>[1]Source!I190</f>
        <v>8.6824999999999992</v>
      </c>
      <c r="F325" s="33"/>
      <c r="G325" s="34"/>
      <c r="H325" s="4"/>
      <c r="I325" s="4"/>
      <c r="J325" s="33"/>
      <c r="K325" s="33"/>
      <c r="M325"/>
      <c r="N325"/>
      <c r="O325"/>
      <c r="P325"/>
      <c r="Q325"/>
      <c r="AB325">
        <f>ROUND(([1]Source!BZ190/100)*ROUND(([1]Source!AF190*[1]Source!AV190)*[1]Source!I190, 2), 2)</f>
        <v>396417.11</v>
      </c>
      <c r="AC325">
        <f>[1]Source!X190</f>
        <v>396417.11</v>
      </c>
      <c r="AD325">
        <f>ROUND(([1]Source!CA190/100)*ROUND(([1]Source!AF190*[1]Source!AV190)*[1]Source!I190, 2), 2)</f>
        <v>56631.02</v>
      </c>
      <c r="AE325">
        <f>[1]Source!Y190</f>
        <v>56631.02</v>
      </c>
      <c r="AF325">
        <f>ROUND((175/100)*ROUND(([1]Source!AE190*[1]Source!AV190)*[1]Source!I190, 2), 2)</f>
        <v>918.96</v>
      </c>
      <c r="AG325">
        <f>ROUND((108/100)*ROUND([1]Source!CS190*[1]Source!I190, 2), 2)</f>
        <v>567.13</v>
      </c>
    </row>
    <row r="326" spans="1:33" x14ac:dyDescent="0.2">
      <c r="C326" s="40" t="str">
        <f>"Объем: "&amp;[1]Source!I190&amp;"=868,25/"&amp;"100"</f>
        <v>Объем: 8,6825=868,25/100</v>
      </c>
      <c r="M326"/>
      <c r="N326"/>
      <c r="O326"/>
      <c r="P326"/>
      <c r="Q326"/>
    </row>
    <row r="327" spans="1:33" ht="14.25" x14ac:dyDescent="0.2">
      <c r="A327" s="31"/>
      <c r="B327" s="31"/>
      <c r="C327" s="31" t="s">
        <v>34</v>
      </c>
      <c r="D327" s="32"/>
      <c r="E327" s="4"/>
      <c r="F327" s="33">
        <f>[1]Source!AO190</f>
        <v>97.06</v>
      </c>
      <c r="G327" s="34" t="str">
        <f>[1]Source!DG190</f>
        <v>)*4*168</v>
      </c>
      <c r="H327" s="4">
        <f>[1]Source!AV190</f>
        <v>1</v>
      </c>
      <c r="I327" s="4">
        <f>IF([1]Source!BA190&lt;&gt; 0, [1]Source!BA190, 1)</f>
        <v>1</v>
      </c>
      <c r="J327" s="33">
        <f>[1]Source!S190</f>
        <v>566310.16</v>
      </c>
      <c r="K327" s="33"/>
      <c r="M327"/>
      <c r="N327"/>
      <c r="O327"/>
      <c r="P327"/>
      <c r="Q327"/>
    </row>
    <row r="328" spans="1:33" ht="14.25" x14ac:dyDescent="0.2">
      <c r="A328" s="31"/>
      <c r="B328" s="31"/>
      <c r="C328" s="31" t="s">
        <v>33</v>
      </c>
      <c r="D328" s="32"/>
      <c r="E328" s="4"/>
      <c r="F328" s="33">
        <f>[1]Source!AM190</f>
        <v>33.97</v>
      </c>
      <c r="G328" s="34" t="str">
        <f>[1]Source!DE190</f>
        <v>)*4*168</v>
      </c>
      <c r="H328" s="4">
        <f>[1]Source!AV190</f>
        <v>1</v>
      </c>
      <c r="I328" s="4">
        <f>IF([1]Source!BB190&lt;&gt; 0, [1]Source!BB190, 1)</f>
        <v>1</v>
      </c>
      <c r="J328" s="33">
        <f>[1]Source!Q190</f>
        <v>198202.72</v>
      </c>
      <c r="K328" s="33"/>
      <c r="M328"/>
      <c r="N328"/>
      <c r="O328"/>
      <c r="P328"/>
      <c r="Q328"/>
    </row>
    <row r="329" spans="1:33" ht="14.25" x14ac:dyDescent="0.2">
      <c r="A329" s="31"/>
      <c r="B329" s="31"/>
      <c r="C329" s="31" t="s">
        <v>37</v>
      </c>
      <c r="D329" s="32"/>
      <c r="E329" s="4"/>
      <c r="F329" s="33">
        <f>[1]Source!AN190</f>
        <v>0.09</v>
      </c>
      <c r="G329" s="34" t="str">
        <f>[1]Source!DF190</f>
        <v>)*4*168</v>
      </c>
      <c r="H329" s="4">
        <f>[1]Source!AV190</f>
        <v>1</v>
      </c>
      <c r="I329" s="4">
        <f>IF([1]Source!BS190&lt;&gt; 0, [1]Source!BS190, 1)</f>
        <v>1</v>
      </c>
      <c r="J329" s="41">
        <f>[1]Source!R190</f>
        <v>525.12</v>
      </c>
      <c r="K329" s="33"/>
      <c r="M329"/>
      <c r="N329"/>
      <c r="O329"/>
      <c r="P329"/>
      <c r="Q329"/>
    </row>
    <row r="330" spans="1:33" ht="14.25" x14ac:dyDescent="0.2">
      <c r="A330" s="31"/>
      <c r="B330" s="31"/>
      <c r="C330" s="31" t="s">
        <v>40</v>
      </c>
      <c r="D330" s="32" t="s">
        <v>39</v>
      </c>
      <c r="E330" s="4">
        <f>[1]Source!AT190</f>
        <v>70</v>
      </c>
      <c r="F330" s="33"/>
      <c r="G330" s="34"/>
      <c r="H330" s="4"/>
      <c r="I330" s="4"/>
      <c r="J330" s="33">
        <f>SUM(AC325:AC329)</f>
        <v>396417.11</v>
      </c>
      <c r="K330" s="33"/>
      <c r="M330"/>
      <c r="N330"/>
      <c r="O330"/>
      <c r="P330"/>
      <c r="Q330"/>
    </row>
    <row r="331" spans="1:33" ht="14.25" x14ac:dyDescent="0.2">
      <c r="A331" s="31"/>
      <c r="B331" s="31"/>
      <c r="C331" s="31" t="s">
        <v>41</v>
      </c>
      <c r="D331" s="32" t="s">
        <v>39</v>
      </c>
      <c r="E331" s="4">
        <f>[1]Source!AU190</f>
        <v>10</v>
      </c>
      <c r="F331" s="33"/>
      <c r="G331" s="34"/>
      <c r="H331" s="4"/>
      <c r="I331" s="4"/>
      <c r="J331" s="33">
        <f>SUM(AE325:AE330)</f>
        <v>56631.02</v>
      </c>
      <c r="K331" s="33"/>
      <c r="M331"/>
      <c r="N331"/>
      <c r="O331"/>
      <c r="P331"/>
      <c r="Q331"/>
    </row>
    <row r="332" spans="1:33" ht="14.25" x14ac:dyDescent="0.2">
      <c r="A332" s="31"/>
      <c r="B332" s="31"/>
      <c r="C332" s="31" t="s">
        <v>38</v>
      </c>
      <c r="D332" s="32" t="s">
        <v>39</v>
      </c>
      <c r="E332" s="4">
        <f>108</f>
        <v>108</v>
      </c>
      <c r="F332" s="33"/>
      <c r="G332" s="34"/>
      <c r="H332" s="4"/>
      <c r="I332" s="4"/>
      <c r="J332" s="33">
        <f>SUM(AG325:AG331)</f>
        <v>567.13</v>
      </c>
      <c r="K332" s="33"/>
      <c r="M332"/>
      <c r="N332"/>
      <c r="O332"/>
      <c r="P332"/>
      <c r="Q332"/>
    </row>
    <row r="333" spans="1:33" ht="14.25" x14ac:dyDescent="0.2">
      <c r="A333" s="31"/>
      <c r="B333" s="31"/>
      <c r="C333" s="31" t="s">
        <v>42</v>
      </c>
      <c r="D333" s="32" t="s">
        <v>43</v>
      </c>
      <c r="E333" s="4">
        <f>[1]Source!AQ190</f>
        <v>0.35</v>
      </c>
      <c r="F333" s="33"/>
      <c r="G333" s="34" t="str">
        <f>[1]Source!DI190</f>
        <v>)*4*168</v>
      </c>
      <c r="H333" s="4">
        <f>[1]Source!AV190</f>
        <v>1</v>
      </c>
      <c r="I333" s="4"/>
      <c r="J333" s="33"/>
      <c r="K333" s="33">
        <f>[1]Source!U190</f>
        <v>2042.1239999999998</v>
      </c>
      <c r="M333"/>
      <c r="N333"/>
      <c r="O333"/>
      <c r="P333"/>
      <c r="Q333"/>
    </row>
    <row r="334" spans="1:33" ht="15" x14ac:dyDescent="0.25">
      <c r="A334" s="35"/>
      <c r="B334" s="35"/>
      <c r="C334" s="35"/>
      <c r="D334" s="35"/>
      <c r="E334" s="35"/>
      <c r="F334" s="35"/>
      <c r="G334" s="35"/>
      <c r="H334" s="35"/>
      <c r="I334" s="36">
        <f>J327+J328+J330+J331+J332</f>
        <v>1218128.1399999999</v>
      </c>
      <c r="J334" s="36"/>
      <c r="K334" s="37">
        <f>IF([1]Source!I190&lt;&gt;0, ROUND(I334/[1]Source!I190, 2), 0)</f>
        <v>140296.94</v>
      </c>
      <c r="M334"/>
      <c r="N334"/>
      <c r="O334"/>
      <c r="P334"/>
      <c r="Q334"/>
      <c r="AA334" s="38">
        <f>I334</f>
        <v>1218128.1399999999</v>
      </c>
    </row>
    <row r="335" spans="1:33" ht="42.75" x14ac:dyDescent="0.2">
      <c r="A335" s="31">
        <v>49</v>
      </c>
      <c r="B335" s="31" t="str">
        <f>[1]Source!F191</f>
        <v>5.3-1102-9-1/1</v>
      </c>
      <c r="C335" s="31" t="str">
        <f>[1]Source!G191</f>
        <v>Колка льда на обледеневших покрытиях вручную( S=4341,27м2*0,1*0,3*0,5=65,12 м2)</v>
      </c>
      <c r="D335" s="32" t="str">
        <f>[1]Source!H191</f>
        <v>100 м2</v>
      </c>
      <c r="E335" s="4">
        <f>[1]Source!I191</f>
        <v>0.6512</v>
      </c>
      <c r="F335" s="33"/>
      <c r="G335" s="34"/>
      <c r="H335" s="4"/>
      <c r="I335" s="4"/>
      <c r="J335" s="33"/>
      <c r="K335" s="33"/>
      <c r="M335"/>
      <c r="N335"/>
      <c r="O335"/>
      <c r="P335"/>
      <c r="Q335"/>
      <c r="AB335">
        <f>ROUND(([1]Source!BZ191/100)*ROUND(([1]Source!AF191*[1]Source!AV191)*[1]Source!I191, 2), 2)</f>
        <v>91515.97</v>
      </c>
      <c r="AC335">
        <f>[1]Source!X191</f>
        <v>91515.97</v>
      </c>
      <c r="AD335">
        <f>ROUND(([1]Source!CA191/100)*ROUND(([1]Source!AF191*[1]Source!AV191)*[1]Source!I191, 2), 2)</f>
        <v>13073.71</v>
      </c>
      <c r="AE335">
        <f>[1]Source!Y191</f>
        <v>13073.71</v>
      </c>
      <c r="AF335">
        <f>ROUND((175/100)*ROUND(([1]Source!AE191*[1]Source!AV191)*[1]Source!I191, 2), 2)</f>
        <v>0</v>
      </c>
      <c r="AG335">
        <f>ROUND((108/100)*ROUND([1]Source!CS191*[1]Source!I191, 2), 2)</f>
        <v>0</v>
      </c>
    </row>
    <row r="336" spans="1:33" x14ac:dyDescent="0.2">
      <c r="C336" s="40" t="str">
        <f>"Объем: "&amp;[1]Source!I191&amp;"=65,12/"&amp;"100"</f>
        <v>Объем: 0,6512=65,12/100</v>
      </c>
      <c r="M336"/>
      <c r="N336"/>
      <c r="O336"/>
      <c r="P336"/>
      <c r="Q336"/>
    </row>
    <row r="337" spans="1:33" ht="14.25" x14ac:dyDescent="0.2">
      <c r="A337" s="31"/>
      <c r="B337" s="31"/>
      <c r="C337" s="31" t="s">
        <v>34</v>
      </c>
      <c r="D337" s="32"/>
      <c r="E337" s="4"/>
      <c r="F337" s="33">
        <f>[1]Source!AO191</f>
        <v>597.51</v>
      </c>
      <c r="G337" s="34" t="str">
        <f>[1]Source!DG191</f>
        <v>)*2*168</v>
      </c>
      <c r="H337" s="4">
        <f>[1]Source!AV191</f>
        <v>1</v>
      </c>
      <c r="I337" s="4">
        <f>IF([1]Source!BA191&lt;&gt; 0, [1]Source!BA191, 1)</f>
        <v>1</v>
      </c>
      <c r="J337" s="33">
        <f>[1]Source!S191</f>
        <v>130737.1</v>
      </c>
      <c r="K337" s="33"/>
      <c r="M337"/>
      <c r="N337"/>
      <c r="O337"/>
      <c r="P337"/>
      <c r="Q337"/>
    </row>
    <row r="338" spans="1:33" ht="14.25" x14ac:dyDescent="0.2">
      <c r="A338" s="31"/>
      <c r="B338" s="31"/>
      <c r="C338" s="31" t="s">
        <v>40</v>
      </c>
      <c r="D338" s="32" t="s">
        <v>39</v>
      </c>
      <c r="E338" s="4">
        <f>[1]Source!AT191</f>
        <v>70</v>
      </c>
      <c r="F338" s="33"/>
      <c r="G338" s="34"/>
      <c r="H338" s="4"/>
      <c r="I338" s="4"/>
      <c r="J338" s="33">
        <f>SUM(AC335:AC337)</f>
        <v>91515.97</v>
      </c>
      <c r="K338" s="33"/>
      <c r="M338"/>
      <c r="N338"/>
      <c r="O338"/>
      <c r="P338"/>
      <c r="Q338"/>
    </row>
    <row r="339" spans="1:33" ht="14.25" x14ac:dyDescent="0.2">
      <c r="A339" s="31"/>
      <c r="B339" s="31"/>
      <c r="C339" s="31" t="s">
        <v>41</v>
      </c>
      <c r="D339" s="32" t="s">
        <v>39</v>
      </c>
      <c r="E339" s="4">
        <f>[1]Source!AU191</f>
        <v>10</v>
      </c>
      <c r="F339" s="33"/>
      <c r="G339" s="34"/>
      <c r="H339" s="4"/>
      <c r="I339" s="4"/>
      <c r="J339" s="33">
        <f>SUM(AE335:AE338)</f>
        <v>13073.71</v>
      </c>
      <c r="K339" s="33"/>
      <c r="M339"/>
      <c r="N339"/>
      <c r="O339"/>
      <c r="P339"/>
      <c r="Q339"/>
    </row>
    <row r="340" spans="1:33" ht="14.25" x14ac:dyDescent="0.2">
      <c r="A340" s="31"/>
      <c r="B340" s="31"/>
      <c r="C340" s="31" t="s">
        <v>42</v>
      </c>
      <c r="D340" s="32" t="s">
        <v>43</v>
      </c>
      <c r="E340" s="4">
        <f>[1]Source!AQ191</f>
        <v>2.41</v>
      </c>
      <c r="F340" s="33"/>
      <c r="G340" s="34" t="str">
        <f>[1]Source!DI191</f>
        <v>)*2*168</v>
      </c>
      <c r="H340" s="4">
        <f>[1]Source!AV191</f>
        <v>1</v>
      </c>
      <c r="I340" s="4"/>
      <c r="J340" s="33"/>
      <c r="K340" s="33">
        <f>[1]Source!U191</f>
        <v>527.31571199999996</v>
      </c>
      <c r="M340"/>
      <c r="N340"/>
      <c r="O340"/>
      <c r="P340"/>
      <c r="Q340"/>
    </row>
    <row r="341" spans="1:33" ht="15" x14ac:dyDescent="0.25">
      <c r="A341" s="35"/>
      <c r="B341" s="35"/>
      <c r="C341" s="35"/>
      <c r="D341" s="35"/>
      <c r="E341" s="35"/>
      <c r="F341" s="35"/>
      <c r="G341" s="35"/>
      <c r="H341" s="35"/>
      <c r="I341" s="36">
        <f>J337+J338+J339</f>
        <v>235326.78</v>
      </c>
      <c r="J341" s="36"/>
      <c r="K341" s="37">
        <f>IF([1]Source!I191&lt;&gt;0, ROUND(I341/[1]Source!I191, 2), 0)</f>
        <v>361374.05</v>
      </c>
      <c r="M341"/>
      <c r="N341"/>
      <c r="O341"/>
      <c r="P341"/>
      <c r="Q341"/>
      <c r="AA341" s="38">
        <f>I341</f>
        <v>235326.78</v>
      </c>
    </row>
    <row r="342" spans="1:33" ht="57" x14ac:dyDescent="0.2">
      <c r="A342" s="31">
        <v>50</v>
      </c>
      <c r="B342" s="31" t="str">
        <f>[1]Source!F192</f>
        <v>калькуляция</v>
      </c>
      <c r="C342" s="31" t="str">
        <f>[1]Source!G192</f>
        <v>Посыпка  гранитной крошкой дорожных покрытий средствами малой механизации( расход крошки 100 г/м2)</v>
      </c>
      <c r="D342" s="32" t="str">
        <f>[1]Source!H192</f>
        <v>м2</v>
      </c>
      <c r="E342" s="4">
        <f>[1]Source!I192</f>
        <v>3038.89</v>
      </c>
      <c r="F342" s="33"/>
      <c r="G342" s="34"/>
      <c r="H342" s="4"/>
      <c r="I342" s="4"/>
      <c r="J342" s="33"/>
      <c r="K342" s="33"/>
      <c r="M342"/>
      <c r="N342"/>
      <c r="O342"/>
      <c r="P342"/>
      <c r="Q342"/>
      <c r="AB342">
        <f>ROUND(([1]Source!BZ192/100)*ROUND(([1]Source!AF192*[1]Source!AV192)*[1]Source!I192, 2), 2)</f>
        <v>0</v>
      </c>
      <c r="AC342">
        <f>[1]Source!X192</f>
        <v>0</v>
      </c>
      <c r="AD342">
        <f>ROUND(([1]Source!CA192/100)*ROUND(([1]Source!AF192*[1]Source!AV192)*[1]Source!I192, 2), 2)</f>
        <v>0</v>
      </c>
      <c r="AE342">
        <f>[1]Source!Y192</f>
        <v>0</v>
      </c>
      <c r="AF342">
        <f>ROUND((175/100)*ROUND(([1]Source!AE192*[1]Source!AV192)*[1]Source!I192, 2), 2)</f>
        <v>0</v>
      </c>
      <c r="AG342">
        <f>ROUND((108/100)*ROUND([1]Source!CS192*[1]Source!I192, 2), 2)</f>
        <v>0</v>
      </c>
    </row>
    <row r="343" spans="1:33" ht="14.25" x14ac:dyDescent="0.2">
      <c r="A343" s="31"/>
      <c r="B343" s="31"/>
      <c r="C343" s="31" t="s">
        <v>33</v>
      </c>
      <c r="D343" s="32"/>
      <c r="E343" s="4"/>
      <c r="F343" s="33">
        <f>[1]Source!AM192</f>
        <v>0.33</v>
      </c>
      <c r="G343" s="34" t="str">
        <f>[1]Source!DE192</f>
        <v>)*4*168</v>
      </c>
      <c r="H343" s="4">
        <f>[1]Source!AV192</f>
        <v>1</v>
      </c>
      <c r="I343" s="4">
        <f>IF([1]Source!BB192&lt;&gt; 0, [1]Source!BB192, 1)</f>
        <v>1</v>
      </c>
      <c r="J343" s="33">
        <f>[1]Source!Q192</f>
        <v>673904.25</v>
      </c>
      <c r="K343" s="33"/>
      <c r="M343"/>
      <c r="N343"/>
      <c r="O343"/>
      <c r="P343"/>
      <c r="Q343"/>
    </row>
    <row r="344" spans="1:33" ht="14.25" x14ac:dyDescent="0.2">
      <c r="A344" s="31" t="s">
        <v>56</v>
      </c>
      <c r="B344" s="31" t="str">
        <f>[1]Source!F193</f>
        <v>цена поставщика</v>
      </c>
      <c r="C344" s="31" t="str">
        <f>[1]Source!G193</f>
        <v>Крошка гранитная</v>
      </c>
      <c r="D344" s="32" t="str">
        <f>[1]Source!H193</f>
        <v>кг</v>
      </c>
      <c r="E344" s="4">
        <f>[1]Source!I193</f>
        <v>204213.408</v>
      </c>
      <c r="F344" s="33">
        <f>[1]Source!AK193</f>
        <v>4.43</v>
      </c>
      <c r="G344" s="39" t="s">
        <v>45</v>
      </c>
      <c r="H344" s="4">
        <f>[1]Source!AW193</f>
        <v>1</v>
      </c>
      <c r="I344" s="4">
        <f>IF([1]Source!BC193&lt;&gt; 0, [1]Source!BC193, 1)</f>
        <v>1</v>
      </c>
      <c r="J344" s="33">
        <f>[1]Source!O193</f>
        <v>904665.4</v>
      </c>
      <c r="K344" s="33"/>
      <c r="M344"/>
      <c r="N344"/>
      <c r="O344"/>
      <c r="P344"/>
      <c r="Q344"/>
      <c r="AB344">
        <f>ROUND(([1]Source!BZ193/100)*ROUND(([1]Source!AF193*[1]Source!AV193)*[1]Source!I193, 2), 2)</f>
        <v>0</v>
      </c>
      <c r="AC344">
        <f>[1]Source!X193</f>
        <v>0</v>
      </c>
      <c r="AD344">
        <f>ROUND(([1]Source!CA193/100)*ROUND(([1]Source!AF193*[1]Source!AV193)*[1]Source!I193, 2), 2)</f>
        <v>0</v>
      </c>
      <c r="AE344">
        <f>[1]Source!Y193</f>
        <v>0</v>
      </c>
      <c r="AF344">
        <f>ROUND((175/100)*ROUND(([1]Source!AE193*[1]Source!AV193)*[1]Source!I193, 2), 2)</f>
        <v>0</v>
      </c>
      <c r="AG344">
        <f>ROUND((108/100)*ROUND([1]Source!CS193*[1]Source!I193, 2), 2)</f>
        <v>0</v>
      </c>
    </row>
    <row r="345" spans="1:33" ht="15" x14ac:dyDescent="0.25">
      <c r="A345" s="35"/>
      <c r="B345" s="35"/>
      <c r="C345" s="35"/>
      <c r="D345" s="35"/>
      <c r="E345" s="35"/>
      <c r="F345" s="35"/>
      <c r="G345" s="35"/>
      <c r="H345" s="35"/>
      <c r="I345" s="36">
        <f>J343+SUM(J344:J344)</f>
        <v>1578569.65</v>
      </c>
      <c r="J345" s="36"/>
      <c r="K345" s="37">
        <f>IF([1]Source!I192&lt;&gt;0, ROUND(I345/[1]Source!I192, 2), 0)</f>
        <v>519.46</v>
      </c>
      <c r="M345"/>
      <c r="N345"/>
      <c r="O345"/>
      <c r="P345"/>
      <c r="Q345"/>
      <c r="AA345" s="38">
        <f>I345</f>
        <v>1578569.65</v>
      </c>
    </row>
    <row r="346" spans="1:33" ht="28.5" x14ac:dyDescent="0.2">
      <c r="A346" s="31">
        <v>51</v>
      </c>
      <c r="B346" s="31" t="str">
        <f>[1]Source!F194</f>
        <v>калькуляция</v>
      </c>
      <c r="C346" s="31" t="str">
        <f>[1]Source!G194</f>
        <v>Посыпка гранитной крошкой дорожных покрытий вручную( 100г/м2 )</v>
      </c>
      <c r="D346" s="32" t="str">
        <f>[1]Source!H194</f>
        <v>м2</v>
      </c>
      <c r="E346" s="4">
        <f>[1]Source!I194</f>
        <v>1302.3800000000001</v>
      </c>
      <c r="F346" s="33"/>
      <c r="G346" s="34"/>
      <c r="H346" s="4"/>
      <c r="I346" s="4"/>
      <c r="J346" s="33"/>
      <c r="K346" s="33"/>
      <c r="M346"/>
      <c r="N346"/>
      <c r="O346"/>
      <c r="P346"/>
      <c r="Q346"/>
      <c r="AB346">
        <f>ROUND(([1]Source!BZ194/100)*ROUND(([1]Source!AF194*[1]Source!AV194)*[1]Source!I194, 2), 2)</f>
        <v>0</v>
      </c>
      <c r="AC346">
        <f>[1]Source!X194</f>
        <v>0</v>
      </c>
      <c r="AD346">
        <f>ROUND(([1]Source!CA194/100)*ROUND(([1]Source!AF194*[1]Source!AV194)*[1]Source!I194, 2), 2)</f>
        <v>0</v>
      </c>
      <c r="AE346">
        <f>[1]Source!Y194</f>
        <v>0</v>
      </c>
      <c r="AF346">
        <f>ROUND((175/100)*ROUND(([1]Source!AE194*[1]Source!AV194)*[1]Source!I194, 2), 2)</f>
        <v>0</v>
      </c>
      <c r="AG346">
        <f>ROUND((108/100)*ROUND([1]Source!CS194*[1]Source!I194, 2), 2)</f>
        <v>0</v>
      </c>
    </row>
    <row r="347" spans="1:33" ht="14.25" x14ac:dyDescent="0.2">
      <c r="A347" s="31"/>
      <c r="B347" s="31"/>
      <c r="C347" s="31" t="s">
        <v>34</v>
      </c>
      <c r="D347" s="32"/>
      <c r="E347" s="4"/>
      <c r="F347" s="33">
        <f>[1]Source!AO194</f>
        <v>2.08</v>
      </c>
      <c r="G347" s="34" t="str">
        <f>[1]Source!DG194</f>
        <v>)*4*168</v>
      </c>
      <c r="H347" s="4">
        <f>[1]Source!AV194</f>
        <v>1</v>
      </c>
      <c r="I347" s="4">
        <f>IF([1]Source!BA194&lt;&gt; 0, [1]Source!BA194, 1)</f>
        <v>1</v>
      </c>
      <c r="J347" s="33">
        <f>[1]Source!S194</f>
        <v>1820414.67</v>
      </c>
      <c r="K347" s="33"/>
      <c r="M347"/>
      <c r="N347"/>
      <c r="O347"/>
      <c r="P347"/>
      <c r="Q347"/>
    </row>
    <row r="348" spans="1:33" ht="27" x14ac:dyDescent="0.2">
      <c r="A348" s="31" t="s">
        <v>57</v>
      </c>
      <c r="B348" s="31" t="str">
        <f>[1]Source!F195</f>
        <v>цена поставщика</v>
      </c>
      <c r="C348" s="31" t="s">
        <v>54</v>
      </c>
      <c r="D348" s="32" t="str">
        <f>[1]Source!H195</f>
        <v>кг</v>
      </c>
      <c r="E348" s="4">
        <f>[1]Source!I195</f>
        <v>87519.935999999987</v>
      </c>
      <c r="F348" s="33">
        <f>[1]Source!AK195</f>
        <v>3.69</v>
      </c>
      <c r="G348" s="39" t="s">
        <v>45</v>
      </c>
      <c r="H348" s="4">
        <f>[1]Source!AW195</f>
        <v>1</v>
      </c>
      <c r="I348" s="4">
        <f>IF([1]Source!BC195&lt;&gt; 0, [1]Source!BC195, 1)</f>
        <v>1</v>
      </c>
      <c r="J348" s="33">
        <f>[1]Source!O195</f>
        <v>322948.56</v>
      </c>
      <c r="K348" s="33"/>
      <c r="M348"/>
      <c r="N348"/>
      <c r="O348"/>
      <c r="P348"/>
      <c r="Q348"/>
      <c r="AB348">
        <f>ROUND(([1]Source!BZ195/100)*ROUND(([1]Source!AF195*[1]Source!AV195)*[1]Source!I195, 2), 2)</f>
        <v>0</v>
      </c>
      <c r="AC348">
        <f>[1]Source!X195</f>
        <v>0</v>
      </c>
      <c r="AD348">
        <f>ROUND(([1]Source!CA195/100)*ROUND(([1]Source!AF195*[1]Source!AV195)*[1]Source!I195, 2), 2)</f>
        <v>0</v>
      </c>
      <c r="AE348">
        <f>[1]Source!Y195</f>
        <v>0</v>
      </c>
      <c r="AF348">
        <f>ROUND((175/100)*ROUND(([1]Source!AE195*[1]Source!AV195)*[1]Source!I195, 2), 2)</f>
        <v>0</v>
      </c>
      <c r="AG348">
        <f>ROUND((108/100)*ROUND([1]Source!CS195*[1]Source!I195, 2), 2)</f>
        <v>0</v>
      </c>
    </row>
    <row r="349" spans="1:33" ht="15" x14ac:dyDescent="0.25">
      <c r="A349" s="35"/>
      <c r="B349" s="35"/>
      <c r="C349" s="35"/>
      <c r="D349" s="35"/>
      <c r="E349" s="35"/>
      <c r="F349" s="35"/>
      <c r="G349" s="35"/>
      <c r="H349" s="35"/>
      <c r="I349" s="36">
        <f>J347+SUM(J348:J348)</f>
        <v>2143363.23</v>
      </c>
      <c r="J349" s="36"/>
      <c r="K349" s="37">
        <f>IF([1]Source!I194&lt;&gt;0, ROUND(I349/[1]Source!I194, 2), 0)</f>
        <v>1645.73</v>
      </c>
      <c r="M349"/>
      <c r="N349"/>
      <c r="O349"/>
      <c r="P349"/>
      <c r="Q349"/>
      <c r="AA349" s="38">
        <f>I349</f>
        <v>2143363.23</v>
      </c>
    </row>
    <row r="350" spans="1:33" ht="28.5" x14ac:dyDescent="0.2">
      <c r="A350" s="31">
        <v>52</v>
      </c>
      <c r="B350" s="31" t="str">
        <f>[1]Source!F196</f>
        <v>5.4-1201-1-1/1</v>
      </c>
      <c r="C350" s="31" t="str">
        <f>[1]Source!G196</f>
        <v>Сбор случайного мусора по территории</v>
      </c>
      <c r="D350" s="32" t="str">
        <f>[1]Source!H196</f>
        <v>100 м2</v>
      </c>
      <c r="E350" s="4">
        <f>[1]Source!I196</f>
        <v>43.412700000000001</v>
      </c>
      <c r="F350" s="33"/>
      <c r="G350" s="34"/>
      <c r="H350" s="4"/>
      <c r="I350" s="4"/>
      <c r="J350" s="33"/>
      <c r="K350" s="33"/>
      <c r="M350"/>
      <c r="N350"/>
      <c r="O350"/>
      <c r="P350"/>
      <c r="Q350"/>
      <c r="AB350">
        <f>ROUND(([1]Source!BZ196/100)*ROUND(([1]Source!AF196*[1]Source!AV196)*[1]Source!I196, 2), 2)</f>
        <v>500419.93</v>
      </c>
      <c r="AC350">
        <f>[1]Source!X196</f>
        <v>500419.93</v>
      </c>
      <c r="AD350">
        <f>ROUND(([1]Source!CA196/100)*ROUND(([1]Source!AF196*[1]Source!AV196)*[1]Source!I196, 2), 2)</f>
        <v>71488.56</v>
      </c>
      <c r="AE350">
        <f>[1]Source!Y196</f>
        <v>71488.56</v>
      </c>
      <c r="AF350">
        <f>ROUND((175/100)*ROUND(([1]Source!AE196*[1]Source!AV196)*[1]Source!I196, 2), 2)</f>
        <v>0</v>
      </c>
      <c r="AG350">
        <f>ROUND((108/100)*ROUND([1]Source!CS196*[1]Source!I196, 2), 2)</f>
        <v>0</v>
      </c>
    </row>
    <row r="351" spans="1:33" x14ac:dyDescent="0.2">
      <c r="C351" s="40" t="str">
        <f>"Объем: "&amp;[1]Source!I196&amp;"=4341,27/"&amp;"100"</f>
        <v>Объем: 43,4127=4341,27/100</v>
      </c>
      <c r="M351"/>
      <c r="N351"/>
      <c r="O351"/>
      <c r="P351"/>
      <c r="Q351"/>
    </row>
    <row r="352" spans="1:33" ht="14.25" x14ac:dyDescent="0.2">
      <c r="A352" s="31"/>
      <c r="B352" s="31"/>
      <c r="C352" s="31" t="s">
        <v>34</v>
      </c>
      <c r="D352" s="32"/>
      <c r="E352" s="4"/>
      <c r="F352" s="33">
        <f>[1]Source!AO196</f>
        <v>12.4</v>
      </c>
      <c r="G352" s="34" t="str">
        <f>[1]Source!DG196</f>
        <v>)*4*332</v>
      </c>
      <c r="H352" s="4">
        <f>[1]Source!AV196</f>
        <v>1</v>
      </c>
      <c r="I352" s="4">
        <f>IF([1]Source!BA196&lt;&gt; 0, [1]Source!BA196, 1)</f>
        <v>1</v>
      </c>
      <c r="J352" s="33">
        <f>[1]Source!S196</f>
        <v>714885.61</v>
      </c>
      <c r="K352" s="33"/>
      <c r="M352"/>
      <c r="N352"/>
      <c r="O352"/>
      <c r="P352"/>
      <c r="Q352"/>
    </row>
    <row r="353" spans="1:43" ht="14.25" x14ac:dyDescent="0.2">
      <c r="A353" s="31"/>
      <c r="B353" s="31"/>
      <c r="C353" s="31" t="s">
        <v>47</v>
      </c>
      <c r="D353" s="32"/>
      <c r="E353" s="4"/>
      <c r="F353" s="33">
        <f>[1]Source!AL196</f>
        <v>0.69</v>
      </c>
      <c r="G353" s="34" t="str">
        <f>[1]Source!DD196</f>
        <v>)*4*332</v>
      </c>
      <c r="H353" s="4">
        <f>[1]Source!AW196</f>
        <v>1</v>
      </c>
      <c r="I353" s="4">
        <f>IF([1]Source!BC196&lt;&gt; 0, [1]Source!BC196, 1)</f>
        <v>1</v>
      </c>
      <c r="J353" s="33">
        <f>[1]Source!P196</f>
        <v>39779.93</v>
      </c>
      <c r="K353" s="33"/>
      <c r="M353"/>
      <c r="N353"/>
      <c r="O353"/>
      <c r="P353"/>
      <c r="Q353"/>
    </row>
    <row r="354" spans="1:43" ht="14.25" x14ac:dyDescent="0.2">
      <c r="A354" s="31"/>
      <c r="B354" s="31"/>
      <c r="C354" s="31" t="s">
        <v>40</v>
      </c>
      <c r="D354" s="32" t="s">
        <v>39</v>
      </c>
      <c r="E354" s="4">
        <f>[1]Source!AT196</f>
        <v>70</v>
      </c>
      <c r="F354" s="33"/>
      <c r="G354" s="34"/>
      <c r="H354" s="4"/>
      <c r="I354" s="4"/>
      <c r="J354" s="33">
        <f>SUM(AC350:AC353)</f>
        <v>500419.93</v>
      </c>
      <c r="K354" s="33"/>
      <c r="M354"/>
      <c r="N354"/>
      <c r="O354"/>
      <c r="P354"/>
      <c r="Q354"/>
    </row>
    <row r="355" spans="1:43" ht="14.25" x14ac:dyDescent="0.2">
      <c r="A355" s="31"/>
      <c r="B355" s="31"/>
      <c r="C355" s="31" t="s">
        <v>41</v>
      </c>
      <c r="D355" s="32" t="s">
        <v>39</v>
      </c>
      <c r="E355" s="4">
        <f>[1]Source!AU196</f>
        <v>10</v>
      </c>
      <c r="F355" s="33"/>
      <c r="G355" s="34"/>
      <c r="H355" s="4"/>
      <c r="I355" s="4"/>
      <c r="J355" s="33">
        <f>SUM(AE350:AE354)</f>
        <v>71488.56</v>
      </c>
      <c r="K355" s="33"/>
      <c r="M355"/>
      <c r="N355"/>
      <c r="O355"/>
      <c r="P355"/>
      <c r="Q355"/>
    </row>
    <row r="356" spans="1:43" ht="14.25" x14ac:dyDescent="0.2">
      <c r="A356" s="31"/>
      <c r="B356" s="31"/>
      <c r="C356" s="31" t="s">
        <v>42</v>
      </c>
      <c r="D356" s="32" t="s">
        <v>43</v>
      </c>
      <c r="E356" s="4">
        <f>[1]Source!AQ196</f>
        <v>0.05</v>
      </c>
      <c r="F356" s="33"/>
      <c r="G356" s="34" t="str">
        <f>[1]Source!DI196</f>
        <v>)*4*332</v>
      </c>
      <c r="H356" s="4">
        <f>[1]Source!AV196</f>
        <v>1</v>
      </c>
      <c r="I356" s="4"/>
      <c r="J356" s="33"/>
      <c r="K356" s="33">
        <f>[1]Source!U196</f>
        <v>2882.6032800000003</v>
      </c>
      <c r="M356"/>
      <c r="N356"/>
      <c r="O356"/>
      <c r="P356"/>
      <c r="Q356"/>
    </row>
    <row r="357" spans="1:43" ht="15" x14ac:dyDescent="0.25">
      <c r="A357" s="35"/>
      <c r="B357" s="35"/>
      <c r="C357" s="35"/>
      <c r="D357" s="35"/>
      <c r="E357" s="35"/>
      <c r="F357" s="35"/>
      <c r="G357" s="35"/>
      <c r="H357" s="35"/>
      <c r="I357" s="36">
        <f>J352+J353+J354+J355</f>
        <v>1326574.03</v>
      </c>
      <c r="J357" s="36"/>
      <c r="K357" s="37">
        <f>IF([1]Source!I196&lt;&gt;0, ROUND(I357/[1]Source!I196, 2), 0)</f>
        <v>30557.279999999999</v>
      </c>
      <c r="M357"/>
      <c r="N357"/>
      <c r="O357"/>
      <c r="P357"/>
      <c r="Q357"/>
      <c r="AA357" s="38">
        <f>I357</f>
        <v>1326574.03</v>
      </c>
    </row>
    <row r="358" spans="1:43" x14ac:dyDescent="0.2">
      <c r="M358"/>
      <c r="N358"/>
      <c r="O358"/>
      <c r="P358"/>
      <c r="Q358"/>
    </row>
    <row r="359" spans="1:43" ht="15" x14ac:dyDescent="0.25">
      <c r="A359" s="42" t="str">
        <f>CONCATENATE("Итого по разделу: ",IF([1]Source!G198&lt;&gt;"Новый раздел", [1]Source!G198, ""))</f>
        <v>Итого по разделу: Содержание дорожек с мощением, 100% пешеходным ( S= 4341,27 м2) ( МКЗ ).</v>
      </c>
      <c r="B359" s="42"/>
      <c r="C359" s="42"/>
      <c r="D359" s="42"/>
      <c r="E359" s="42"/>
      <c r="F359" s="42"/>
      <c r="G359" s="42"/>
      <c r="H359" s="42"/>
      <c r="I359" s="43">
        <f>SUM(AA280:AA358)</f>
        <v>12282795.700000001</v>
      </c>
      <c r="J359" s="44"/>
      <c r="K359" s="47"/>
      <c r="L359" s="38">
        <f>I359</f>
        <v>12282795.700000001</v>
      </c>
      <c r="M359" s="2">
        <f>ROUND(I359*$I$4874,2)</f>
        <v>8870719.1600000001</v>
      </c>
      <c r="N359" s="2">
        <f>ROUND(M359*1.2/105*100,2)</f>
        <v>10137964.75</v>
      </c>
      <c r="O359" s="2">
        <f>ROUND(N359*0.05,2)</f>
        <v>506898.24</v>
      </c>
      <c r="P359" s="2">
        <f>N359+O359</f>
        <v>10644862.99</v>
      </c>
      <c r="Q359" s="3">
        <v>16</v>
      </c>
      <c r="R359">
        <v>2</v>
      </c>
      <c r="S359" s="2">
        <v>1957009.16</v>
      </c>
      <c r="AQ359" s="46" t="str">
        <f>CONCATENATE("Итого по разделу: ",IF([1]Source!G198&lt;&gt;"Новый раздел", [1]Source!G198, ""))</f>
        <v>Итого по разделу: Содержание дорожек с мощением, 100% пешеходным ( S= 4341,27 м2) ( МКЗ ).</v>
      </c>
    </row>
    <row r="360" spans="1:43" x14ac:dyDescent="0.2">
      <c r="M360"/>
      <c r="N360"/>
      <c r="O360"/>
      <c r="P360"/>
      <c r="Q360"/>
    </row>
    <row r="361" spans="1:43" x14ac:dyDescent="0.2">
      <c r="M361"/>
      <c r="N361"/>
      <c r="O361"/>
      <c r="P361"/>
      <c r="Q361"/>
    </row>
    <row r="362" spans="1:43" ht="16.5" x14ac:dyDescent="0.25">
      <c r="A362" s="29" t="str">
        <f>CONCATENATE("Раздел: ",IF([1]Source!G228&lt;&gt;"Новый раздел", [1]Source!G228, ""))</f>
        <v>Раздел: Содержание садово-парковых дорожек с мощением парковым пиксельным ( 50% ) ( S=3440 м2 )</v>
      </c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M362"/>
      <c r="N362"/>
      <c r="O362"/>
      <c r="P362"/>
      <c r="Q362"/>
    </row>
    <row r="363" spans="1:43" ht="28.5" x14ac:dyDescent="0.2">
      <c r="A363" s="31">
        <v>53</v>
      </c>
      <c r="B363" s="31" t="str">
        <f>[1]Source!F232</f>
        <v>калькуляция</v>
      </c>
      <c r="C363" s="31" t="str">
        <f>[1]Source!G232</f>
        <v>Подметание дорожек  вручную ( S=3440 м2)</v>
      </c>
      <c r="D363" s="32" t="str">
        <f>[1]Source!H232</f>
        <v>м2</v>
      </c>
      <c r="E363" s="4">
        <f>[1]Source!I232</f>
        <v>3440</v>
      </c>
      <c r="F363" s="33"/>
      <c r="G363" s="34"/>
      <c r="H363" s="4"/>
      <c r="I363" s="4"/>
      <c r="J363" s="33"/>
      <c r="K363" s="33"/>
      <c r="M363"/>
      <c r="N363"/>
      <c r="O363"/>
      <c r="P363"/>
      <c r="Q363"/>
      <c r="AB363">
        <f>ROUND(([1]Source!BZ232/100)*ROUND(([1]Source!AF232*[1]Source!AV232)*[1]Source!I232, 2), 2)</f>
        <v>0</v>
      </c>
      <c r="AC363">
        <f>[1]Source!X232</f>
        <v>0</v>
      </c>
      <c r="AD363">
        <f>ROUND(([1]Source!CA232/100)*ROUND(([1]Source!AF232*[1]Source!AV232)*[1]Source!I232, 2), 2)</f>
        <v>0</v>
      </c>
      <c r="AE363">
        <f>[1]Source!Y232</f>
        <v>0</v>
      </c>
      <c r="AF363">
        <f>ROUND((175/100)*ROUND(([1]Source!AE232*[1]Source!AV232)*[1]Source!I232, 2), 2)</f>
        <v>0</v>
      </c>
      <c r="AG363">
        <f>ROUND((108/100)*ROUND([1]Source!CS232*[1]Source!I232, 2), 2)</f>
        <v>0</v>
      </c>
    </row>
    <row r="364" spans="1:43" ht="14.25" x14ac:dyDescent="0.2">
      <c r="A364" s="31"/>
      <c r="B364" s="31"/>
      <c r="C364" s="31" t="s">
        <v>34</v>
      </c>
      <c r="D364" s="32"/>
      <c r="E364" s="4"/>
      <c r="F364" s="33">
        <f>[1]Source!AO232</f>
        <v>1.32</v>
      </c>
      <c r="G364" s="34" t="str">
        <f>[1]Source!DG232</f>
        <v>)*4*164</v>
      </c>
      <c r="H364" s="4">
        <f>[1]Source!AV232</f>
        <v>1</v>
      </c>
      <c r="I364" s="4">
        <f>IF([1]Source!BA232&lt;&gt; 0, [1]Source!BA232, 1)</f>
        <v>1</v>
      </c>
      <c r="J364" s="33">
        <f>[1]Source!S232</f>
        <v>2978764.7999999998</v>
      </c>
      <c r="K364" s="33"/>
      <c r="M364"/>
      <c r="N364"/>
      <c r="O364"/>
      <c r="P364"/>
      <c r="Q364"/>
    </row>
    <row r="365" spans="1:43" ht="15" x14ac:dyDescent="0.25">
      <c r="A365" s="35"/>
      <c r="B365" s="35"/>
      <c r="C365" s="35"/>
      <c r="D365" s="35"/>
      <c r="E365" s="35"/>
      <c r="F365" s="35"/>
      <c r="G365" s="35"/>
      <c r="H365" s="35"/>
      <c r="I365" s="36">
        <f>J364</f>
        <v>2978764.7999999998</v>
      </c>
      <c r="J365" s="36"/>
      <c r="K365" s="37">
        <f>IF([1]Source!I232&lt;&gt;0, ROUND(I365/[1]Source!I232, 2), 0)</f>
        <v>865.92</v>
      </c>
      <c r="M365"/>
      <c r="N365"/>
      <c r="O365"/>
      <c r="P365"/>
      <c r="Q365"/>
      <c r="AA365" s="38">
        <f>I365</f>
        <v>2978764.7999999998</v>
      </c>
    </row>
    <row r="366" spans="1:43" ht="42.75" x14ac:dyDescent="0.2">
      <c r="A366" s="31">
        <v>54</v>
      </c>
      <c r="B366" s="31" t="str">
        <f>[1]Source!F233</f>
        <v>5.3-1102-8-1/1</v>
      </c>
      <c r="C366" s="31" t="str">
        <f>[1]Source!G233</f>
        <v>Уборка свежевыпавшего снега вручную толщиной слоя до 10 см ( S= 3440 м2* 0,8*0,7*0,5 =963,2 м2)</v>
      </c>
      <c r="D366" s="32" t="str">
        <f>[1]Source!H233</f>
        <v>100 м2</v>
      </c>
      <c r="E366" s="4">
        <f>[1]Source!I233</f>
        <v>9.6319999999999997</v>
      </c>
      <c r="F366" s="33"/>
      <c r="G366" s="34"/>
      <c r="H366" s="4"/>
      <c r="I366" s="4"/>
      <c r="J366" s="33"/>
      <c r="K366" s="33"/>
      <c r="M366"/>
      <c r="N366"/>
      <c r="O366"/>
      <c r="P366"/>
      <c r="Q366"/>
      <c r="AB366">
        <f>ROUND(([1]Source!BZ233/100)*ROUND(([1]Source!AF233*[1]Source!AV233)*[1]Source!I233, 2), 2)</f>
        <v>730153.38</v>
      </c>
      <c r="AC366">
        <f>[1]Source!X233</f>
        <v>730153.38</v>
      </c>
      <c r="AD366">
        <f>ROUND(([1]Source!CA233/100)*ROUND(([1]Source!AF233*[1]Source!AV233)*[1]Source!I233, 2), 2)</f>
        <v>104307.63</v>
      </c>
      <c r="AE366">
        <f>[1]Source!Y233</f>
        <v>104307.63</v>
      </c>
      <c r="AF366">
        <f>ROUND((175/100)*ROUND(([1]Source!AE233*[1]Source!AV233)*[1]Source!I233, 2), 2)</f>
        <v>0</v>
      </c>
      <c r="AG366">
        <f>ROUND((108/100)*ROUND([1]Source!CS233*[1]Source!I233, 2), 2)</f>
        <v>0</v>
      </c>
    </row>
    <row r="367" spans="1:43" x14ac:dyDescent="0.2">
      <c r="C367" s="40" t="str">
        <f>"Объем: "&amp;[1]Source!I233&amp;"=963,2/"&amp;"100"</f>
        <v>Объем: 9,632=963,2/100</v>
      </c>
      <c r="M367"/>
      <c r="N367"/>
      <c r="O367"/>
      <c r="P367"/>
      <c r="Q367"/>
    </row>
    <row r="368" spans="1:43" ht="14.25" x14ac:dyDescent="0.2">
      <c r="A368" s="31"/>
      <c r="B368" s="31"/>
      <c r="C368" s="31" t="s">
        <v>34</v>
      </c>
      <c r="D368" s="32"/>
      <c r="E368" s="4"/>
      <c r="F368" s="33">
        <f>[1]Source!AO233</f>
        <v>161.15</v>
      </c>
      <c r="G368" s="34" t="str">
        <f>[1]Source!DG233</f>
        <v>)*4*168</v>
      </c>
      <c r="H368" s="4">
        <f>[1]Source!AV233</f>
        <v>1</v>
      </c>
      <c r="I368" s="4">
        <f>IF([1]Source!BA233&lt;&gt; 0, [1]Source!BA233, 1)</f>
        <v>1</v>
      </c>
      <c r="J368" s="33">
        <f>[1]Source!S233</f>
        <v>1043076.25</v>
      </c>
      <c r="K368" s="33"/>
      <c r="M368"/>
      <c r="N368"/>
      <c r="O368"/>
      <c r="P368"/>
      <c r="Q368"/>
    </row>
    <row r="369" spans="1:33" ht="14.25" x14ac:dyDescent="0.2">
      <c r="A369" s="31"/>
      <c r="B369" s="31"/>
      <c r="C369" s="31" t="s">
        <v>40</v>
      </c>
      <c r="D369" s="32" t="s">
        <v>39</v>
      </c>
      <c r="E369" s="4">
        <f>[1]Source!AT233</f>
        <v>70</v>
      </c>
      <c r="F369" s="33"/>
      <c r="G369" s="34"/>
      <c r="H369" s="4"/>
      <c r="I369" s="4"/>
      <c r="J369" s="33">
        <f>SUM(AC366:AC368)</f>
        <v>730153.38</v>
      </c>
      <c r="K369" s="33"/>
      <c r="M369"/>
      <c r="N369"/>
      <c r="O369"/>
      <c r="P369"/>
      <c r="Q369"/>
    </row>
    <row r="370" spans="1:33" ht="14.25" x14ac:dyDescent="0.2">
      <c r="A370" s="31"/>
      <c r="B370" s="31"/>
      <c r="C370" s="31" t="s">
        <v>41</v>
      </c>
      <c r="D370" s="32" t="s">
        <v>39</v>
      </c>
      <c r="E370" s="4">
        <f>[1]Source!AU233</f>
        <v>10</v>
      </c>
      <c r="F370" s="33"/>
      <c r="G370" s="34"/>
      <c r="H370" s="4"/>
      <c r="I370" s="4"/>
      <c r="J370" s="33">
        <f>SUM(AE366:AE369)</f>
        <v>104307.63</v>
      </c>
      <c r="K370" s="33"/>
      <c r="M370"/>
      <c r="N370"/>
      <c r="O370"/>
      <c r="P370"/>
      <c r="Q370"/>
    </row>
    <row r="371" spans="1:33" ht="14.25" x14ac:dyDescent="0.2">
      <c r="A371" s="31"/>
      <c r="B371" s="31"/>
      <c r="C371" s="31" t="s">
        <v>42</v>
      </c>
      <c r="D371" s="32" t="s">
        <v>43</v>
      </c>
      <c r="E371" s="4">
        <f>[1]Source!AQ233</f>
        <v>0.65</v>
      </c>
      <c r="F371" s="33"/>
      <c r="G371" s="34" t="str">
        <f>[1]Source!DI233</f>
        <v>)*4*168</v>
      </c>
      <c r="H371" s="4">
        <f>[1]Source!AV233</f>
        <v>1</v>
      </c>
      <c r="I371" s="4"/>
      <c r="J371" s="33"/>
      <c r="K371" s="33">
        <f>[1]Source!U233</f>
        <v>4207.2575999999999</v>
      </c>
      <c r="M371"/>
      <c r="N371"/>
      <c r="O371"/>
      <c r="P371"/>
      <c r="Q371"/>
    </row>
    <row r="372" spans="1:33" ht="15" x14ac:dyDescent="0.25">
      <c r="A372" s="35"/>
      <c r="B372" s="35"/>
      <c r="C372" s="35"/>
      <c r="D372" s="35"/>
      <c r="E372" s="35"/>
      <c r="F372" s="35"/>
      <c r="G372" s="35"/>
      <c r="H372" s="35"/>
      <c r="I372" s="36">
        <f>J368+J369+J370</f>
        <v>1877537.2599999998</v>
      </c>
      <c r="J372" s="36"/>
      <c r="K372" s="37">
        <f>IF([1]Source!I233&lt;&gt;0, ROUND(I372/[1]Source!I233, 2), 0)</f>
        <v>194927.04</v>
      </c>
      <c r="M372"/>
      <c r="N372"/>
      <c r="O372"/>
      <c r="P372"/>
      <c r="Q372"/>
      <c r="AA372" s="38">
        <f>I372</f>
        <v>1877537.2599999998</v>
      </c>
    </row>
    <row r="373" spans="1:33" ht="28.5" x14ac:dyDescent="0.2">
      <c r="A373" s="31">
        <v>55</v>
      </c>
      <c r="B373" s="31" t="str">
        <f>[1]Source!F234</f>
        <v>5.3-1102-8-3/1</v>
      </c>
      <c r="C373" s="31" t="str">
        <f>[1]Source!G234</f>
        <v>Уборка слежавшегося снега вручную( S=3440 м2*0,8*0,7*0,5=963,2м2 )</v>
      </c>
      <c r="D373" s="32" t="str">
        <f>[1]Source!H234</f>
        <v>100 м2</v>
      </c>
      <c r="E373" s="4">
        <f>[1]Source!I234</f>
        <v>9.6319999999999997</v>
      </c>
      <c r="F373" s="33"/>
      <c r="G373" s="34"/>
      <c r="H373" s="4"/>
      <c r="I373" s="4"/>
      <c r="J373" s="33"/>
      <c r="K373" s="33"/>
      <c r="M373"/>
      <c r="N373"/>
      <c r="O373"/>
      <c r="P373"/>
      <c r="Q373"/>
      <c r="AB373">
        <f>ROUND(([1]Source!BZ234/100)*ROUND(([1]Source!AF234*[1]Source!AV234)*[1]Source!I234, 2), 2)</f>
        <v>429675.89</v>
      </c>
      <c r="AC373">
        <f>[1]Source!X234</f>
        <v>429675.89</v>
      </c>
      <c r="AD373">
        <f>ROUND(([1]Source!CA234/100)*ROUND(([1]Source!AF234*[1]Source!AV234)*[1]Source!I234, 2), 2)</f>
        <v>61382.27</v>
      </c>
      <c r="AE373">
        <f>[1]Source!Y234</f>
        <v>61382.27</v>
      </c>
      <c r="AF373">
        <f>ROUND((175/100)*ROUND(([1]Source!AE234*[1]Source!AV234)*[1]Source!I234, 2), 2)</f>
        <v>0</v>
      </c>
      <c r="AG373">
        <f>ROUND((108/100)*ROUND([1]Source!CS234*[1]Source!I234, 2), 2)</f>
        <v>0</v>
      </c>
    </row>
    <row r="374" spans="1:33" x14ac:dyDescent="0.2">
      <c r="C374" s="40" t="str">
        <f>"Объем: "&amp;[1]Source!I234&amp;"=963,2/"&amp;"100"</f>
        <v>Объем: 9,632=963,2/100</v>
      </c>
      <c r="M374"/>
      <c r="N374"/>
      <c r="O374"/>
      <c r="P374"/>
      <c r="Q374"/>
    </row>
    <row r="375" spans="1:33" ht="14.25" x14ac:dyDescent="0.2">
      <c r="A375" s="31"/>
      <c r="B375" s="31"/>
      <c r="C375" s="31" t="s">
        <v>34</v>
      </c>
      <c r="D375" s="32"/>
      <c r="E375" s="4"/>
      <c r="F375" s="33">
        <f>[1]Source!AO234</f>
        <v>379.33</v>
      </c>
      <c r="G375" s="34" t="str">
        <f>[1]Source!DG234</f>
        <v>)*1*168</v>
      </c>
      <c r="H375" s="4">
        <f>[1]Source!AV234</f>
        <v>1</v>
      </c>
      <c r="I375" s="4">
        <f>IF([1]Source!BA234&lt;&gt; 0, [1]Source!BA234, 1)</f>
        <v>1</v>
      </c>
      <c r="J375" s="33">
        <f>[1]Source!S234</f>
        <v>613822.69999999995</v>
      </c>
      <c r="K375" s="33"/>
      <c r="M375"/>
      <c r="N375"/>
      <c r="O375"/>
      <c r="P375"/>
      <c r="Q375"/>
    </row>
    <row r="376" spans="1:33" ht="14.25" x14ac:dyDescent="0.2">
      <c r="A376" s="31"/>
      <c r="B376" s="31"/>
      <c r="C376" s="31" t="s">
        <v>40</v>
      </c>
      <c r="D376" s="32" t="s">
        <v>39</v>
      </c>
      <c r="E376" s="4">
        <f>[1]Source!AT234</f>
        <v>70</v>
      </c>
      <c r="F376" s="33"/>
      <c r="G376" s="34"/>
      <c r="H376" s="4"/>
      <c r="I376" s="4"/>
      <c r="J376" s="33">
        <f>SUM(AC373:AC375)</f>
        <v>429675.89</v>
      </c>
      <c r="K376" s="33"/>
      <c r="M376"/>
      <c r="N376"/>
      <c r="O376"/>
      <c r="P376"/>
      <c r="Q376"/>
    </row>
    <row r="377" spans="1:33" ht="14.25" x14ac:dyDescent="0.2">
      <c r="A377" s="31"/>
      <c r="B377" s="31"/>
      <c r="C377" s="31" t="s">
        <v>41</v>
      </c>
      <c r="D377" s="32" t="s">
        <v>39</v>
      </c>
      <c r="E377" s="4">
        <f>[1]Source!AU234</f>
        <v>10</v>
      </c>
      <c r="F377" s="33"/>
      <c r="G377" s="34"/>
      <c r="H377" s="4"/>
      <c r="I377" s="4"/>
      <c r="J377" s="33">
        <f>SUM(AE373:AE376)</f>
        <v>61382.27</v>
      </c>
      <c r="K377" s="33"/>
      <c r="M377"/>
      <c r="N377"/>
      <c r="O377"/>
      <c r="P377"/>
      <c r="Q377"/>
    </row>
    <row r="378" spans="1:33" ht="14.25" x14ac:dyDescent="0.2">
      <c r="A378" s="31"/>
      <c r="B378" s="31"/>
      <c r="C378" s="31" t="s">
        <v>42</v>
      </c>
      <c r="D378" s="32" t="s">
        <v>43</v>
      </c>
      <c r="E378" s="4">
        <f>[1]Source!AQ234</f>
        <v>1.53</v>
      </c>
      <c r="F378" s="33"/>
      <c r="G378" s="34" t="str">
        <f>[1]Source!DI234</f>
        <v>)*1*168</v>
      </c>
      <c r="H378" s="4">
        <f>[1]Source!AV234</f>
        <v>1</v>
      </c>
      <c r="I378" s="4"/>
      <c r="J378" s="33"/>
      <c r="K378" s="33">
        <f>[1]Source!U234</f>
        <v>2475.8092799999999</v>
      </c>
      <c r="M378"/>
      <c r="N378"/>
      <c r="O378"/>
      <c r="P378"/>
      <c r="Q378"/>
    </row>
    <row r="379" spans="1:33" ht="15" x14ac:dyDescent="0.25">
      <c r="A379" s="35"/>
      <c r="B379" s="35"/>
      <c r="C379" s="35"/>
      <c r="D379" s="35"/>
      <c r="E379" s="35"/>
      <c r="F379" s="35"/>
      <c r="G379" s="35"/>
      <c r="H379" s="35"/>
      <c r="I379" s="36">
        <f>J375+J376+J377</f>
        <v>1104880.8599999999</v>
      </c>
      <c r="J379" s="36"/>
      <c r="K379" s="37">
        <f>IF([1]Source!I234&lt;&gt;0, ROUND(I379/[1]Source!I234, 2), 0)</f>
        <v>114709.39</v>
      </c>
      <c r="M379"/>
      <c r="N379"/>
      <c r="O379"/>
      <c r="P379"/>
      <c r="Q379"/>
      <c r="AA379" s="38">
        <f>I379</f>
        <v>1104880.8599999999</v>
      </c>
    </row>
    <row r="380" spans="1:33" ht="42.75" x14ac:dyDescent="0.2">
      <c r="A380" s="31">
        <v>56</v>
      </c>
      <c r="B380" s="31" t="str">
        <f>[1]Source!F235</f>
        <v>5.3-1102-8-1/1</v>
      </c>
      <c r="C380" s="31" t="str">
        <f>[1]Source!G235</f>
        <v>Уборка свежевыпавшего снега вручную толщиной слоя до 10 см ( S= 3440 м2* 0,8*0,3 *0,5=412,8м2)</v>
      </c>
      <c r="D380" s="32" t="str">
        <f>[1]Source!H235</f>
        <v>100 м2</v>
      </c>
      <c r="E380" s="4">
        <f>[1]Source!I235</f>
        <v>4.1280000000000001</v>
      </c>
      <c r="F380" s="33"/>
      <c r="G380" s="34"/>
      <c r="H380" s="4"/>
      <c r="I380" s="4"/>
      <c r="J380" s="33"/>
      <c r="K380" s="33"/>
      <c r="M380"/>
      <c r="N380"/>
      <c r="O380"/>
      <c r="P380"/>
      <c r="Q380"/>
      <c r="AB380">
        <f>ROUND(([1]Source!BZ235/100)*ROUND(([1]Source!AF235*[1]Source!AV235)*[1]Source!I235, 2), 2)</f>
        <v>312922.88</v>
      </c>
      <c r="AC380">
        <f>[1]Source!X235</f>
        <v>312922.88</v>
      </c>
      <c r="AD380">
        <f>ROUND(([1]Source!CA235/100)*ROUND(([1]Source!AF235*[1]Source!AV235)*[1]Source!I235, 2), 2)</f>
        <v>44703.27</v>
      </c>
      <c r="AE380">
        <f>[1]Source!Y235</f>
        <v>44703.27</v>
      </c>
      <c r="AF380">
        <f>ROUND((175/100)*ROUND(([1]Source!AE235*[1]Source!AV235)*[1]Source!I235, 2), 2)</f>
        <v>0</v>
      </c>
      <c r="AG380">
        <f>ROUND((108/100)*ROUND([1]Source!CS235*[1]Source!I235, 2), 2)</f>
        <v>0</v>
      </c>
    </row>
    <row r="381" spans="1:33" x14ac:dyDescent="0.2">
      <c r="C381" s="40" t="str">
        <f>"Объем: "&amp;[1]Source!I235&amp;"=412,8/"&amp;"100"</f>
        <v>Объем: 4,128=412,8/100</v>
      </c>
      <c r="M381"/>
      <c r="N381"/>
      <c r="O381"/>
      <c r="P381"/>
      <c r="Q381"/>
    </row>
    <row r="382" spans="1:33" ht="14.25" x14ac:dyDescent="0.2">
      <c r="A382" s="31"/>
      <c r="B382" s="31"/>
      <c r="C382" s="31" t="s">
        <v>34</v>
      </c>
      <c r="D382" s="32"/>
      <c r="E382" s="4"/>
      <c r="F382" s="33">
        <f>[1]Source!AO235</f>
        <v>161.15</v>
      </c>
      <c r="G382" s="34" t="str">
        <f>[1]Source!DG235</f>
        <v>)*4*168</v>
      </c>
      <c r="H382" s="4">
        <f>[1]Source!AV235</f>
        <v>1</v>
      </c>
      <c r="I382" s="4">
        <f>IF([1]Source!BA235&lt;&gt; 0, [1]Source!BA235, 1)</f>
        <v>1</v>
      </c>
      <c r="J382" s="33">
        <f>[1]Source!S235</f>
        <v>447032.68</v>
      </c>
      <c r="K382" s="33"/>
      <c r="M382"/>
      <c r="N382"/>
      <c r="O382"/>
      <c r="P382"/>
      <c r="Q382"/>
    </row>
    <row r="383" spans="1:33" ht="14.25" x14ac:dyDescent="0.2">
      <c r="A383" s="31"/>
      <c r="B383" s="31"/>
      <c r="C383" s="31" t="s">
        <v>40</v>
      </c>
      <c r="D383" s="32" t="s">
        <v>39</v>
      </c>
      <c r="E383" s="4">
        <f>[1]Source!AT235</f>
        <v>70</v>
      </c>
      <c r="F383" s="33"/>
      <c r="G383" s="34"/>
      <c r="H383" s="4"/>
      <c r="I383" s="4"/>
      <c r="J383" s="33">
        <f>SUM(AC380:AC382)</f>
        <v>312922.88</v>
      </c>
      <c r="K383" s="33"/>
      <c r="M383"/>
      <c r="N383"/>
      <c r="O383"/>
      <c r="P383"/>
      <c r="Q383"/>
    </row>
    <row r="384" spans="1:33" ht="14.25" x14ac:dyDescent="0.2">
      <c r="A384" s="31"/>
      <c r="B384" s="31"/>
      <c r="C384" s="31" t="s">
        <v>41</v>
      </c>
      <c r="D384" s="32" t="s">
        <v>39</v>
      </c>
      <c r="E384" s="4">
        <f>[1]Source!AU235</f>
        <v>10</v>
      </c>
      <c r="F384" s="33"/>
      <c r="G384" s="34"/>
      <c r="H384" s="4"/>
      <c r="I384" s="4"/>
      <c r="J384" s="33">
        <f>SUM(AE380:AE383)</f>
        <v>44703.27</v>
      </c>
      <c r="K384" s="33"/>
      <c r="M384"/>
      <c r="N384"/>
      <c r="O384"/>
      <c r="P384"/>
      <c r="Q384"/>
    </row>
    <row r="385" spans="1:33" ht="14.25" x14ac:dyDescent="0.2">
      <c r="A385" s="31"/>
      <c r="B385" s="31"/>
      <c r="C385" s="31" t="s">
        <v>42</v>
      </c>
      <c r="D385" s="32" t="s">
        <v>43</v>
      </c>
      <c r="E385" s="4">
        <f>[1]Source!AQ235</f>
        <v>0.65</v>
      </c>
      <c r="F385" s="33"/>
      <c r="G385" s="34" t="str">
        <f>[1]Source!DI235</f>
        <v>)*4*168</v>
      </c>
      <c r="H385" s="4">
        <f>[1]Source!AV235</f>
        <v>1</v>
      </c>
      <c r="I385" s="4"/>
      <c r="J385" s="33"/>
      <c r="K385" s="33">
        <f>[1]Source!U235</f>
        <v>1803.1104</v>
      </c>
      <c r="M385"/>
      <c r="N385"/>
      <c r="O385"/>
      <c r="P385"/>
      <c r="Q385"/>
    </row>
    <row r="386" spans="1:33" ht="15" x14ac:dyDescent="0.25">
      <c r="A386" s="35"/>
      <c r="B386" s="35"/>
      <c r="C386" s="35"/>
      <c r="D386" s="35"/>
      <c r="E386" s="35"/>
      <c r="F386" s="35"/>
      <c r="G386" s="35"/>
      <c r="H386" s="35"/>
      <c r="I386" s="36">
        <f>J382+J383+J384</f>
        <v>804658.83000000007</v>
      </c>
      <c r="J386" s="36"/>
      <c r="K386" s="37">
        <f>IF([1]Source!I235&lt;&gt;0, ROUND(I386/[1]Source!I235, 2), 0)</f>
        <v>194927.04</v>
      </c>
      <c r="M386"/>
      <c r="N386"/>
      <c r="O386"/>
      <c r="P386"/>
      <c r="Q386"/>
      <c r="AA386" s="38">
        <f>I386</f>
        <v>804658.83000000007</v>
      </c>
    </row>
    <row r="387" spans="1:33" ht="57" x14ac:dyDescent="0.2">
      <c r="A387" s="31">
        <v>57</v>
      </c>
      <c r="B387" s="31" t="str">
        <f>[1]Source!F236</f>
        <v>5.3-1102-8-2/1</v>
      </c>
      <c r="C387" s="31" t="str">
        <f>[1]Source!G236</f>
        <v>Уборка свежевыпавшего снега вручную, добавлять на каждые следующие 10 см увеличения толщины слоя</v>
      </c>
      <c r="D387" s="32" t="str">
        <f>[1]Source!H236</f>
        <v>100 м2</v>
      </c>
      <c r="E387" s="4">
        <f>[1]Source!I236</f>
        <v>4.1280000000000001</v>
      </c>
      <c r="F387" s="33"/>
      <c r="G387" s="34"/>
      <c r="H387" s="4"/>
      <c r="I387" s="4"/>
      <c r="J387" s="33"/>
      <c r="K387" s="33"/>
      <c r="M387"/>
      <c r="N387"/>
      <c r="O387"/>
      <c r="P387"/>
      <c r="Q387"/>
      <c r="AB387">
        <f>ROUND(([1]Source!BZ236/100)*ROUND(([1]Source!AF236*[1]Source!AV236)*[1]Source!I236, 2), 2)</f>
        <v>226279.26</v>
      </c>
      <c r="AC387">
        <f>[1]Source!X236</f>
        <v>226279.26</v>
      </c>
      <c r="AD387">
        <f>ROUND(([1]Source!CA236/100)*ROUND(([1]Source!AF236*[1]Source!AV236)*[1]Source!I236, 2), 2)</f>
        <v>32325.61</v>
      </c>
      <c r="AE387">
        <f>[1]Source!Y236</f>
        <v>32325.61</v>
      </c>
      <c r="AF387">
        <f>ROUND((175/100)*ROUND(([1]Source!AE236*[1]Source!AV236)*[1]Source!I236, 2), 2)</f>
        <v>0</v>
      </c>
      <c r="AG387">
        <f>ROUND((108/100)*ROUND([1]Source!CS236*[1]Source!I236, 2), 2)</f>
        <v>0</v>
      </c>
    </row>
    <row r="388" spans="1:33" x14ac:dyDescent="0.2">
      <c r="C388" s="40" t="str">
        <f>"Объем: "&amp;[1]Source!I236&amp;"=412,8/"&amp;"100"</f>
        <v>Объем: 4,128=412,8/100</v>
      </c>
      <c r="M388"/>
      <c r="N388"/>
      <c r="O388"/>
      <c r="P388"/>
      <c r="Q388"/>
    </row>
    <row r="389" spans="1:33" ht="14.25" x14ac:dyDescent="0.2">
      <c r="A389" s="31"/>
      <c r="B389" s="31"/>
      <c r="C389" s="31" t="s">
        <v>34</v>
      </c>
      <c r="D389" s="32"/>
      <c r="E389" s="4"/>
      <c r="F389" s="33">
        <f>[1]Source!AO236</f>
        <v>116.53</v>
      </c>
      <c r="G389" s="34" t="str">
        <f>[1]Source!DG236</f>
        <v>)*4*168</v>
      </c>
      <c r="H389" s="4">
        <f>[1]Source!AV236</f>
        <v>1</v>
      </c>
      <c r="I389" s="4">
        <f>IF([1]Source!BA236&lt;&gt; 0, [1]Source!BA236, 1)</f>
        <v>1</v>
      </c>
      <c r="J389" s="33">
        <f>[1]Source!S236</f>
        <v>323256.08</v>
      </c>
      <c r="K389" s="33"/>
      <c r="M389"/>
      <c r="N389"/>
      <c r="O389"/>
      <c r="P389"/>
      <c r="Q389"/>
    </row>
    <row r="390" spans="1:33" ht="14.25" x14ac:dyDescent="0.2">
      <c r="A390" s="31"/>
      <c r="B390" s="31"/>
      <c r="C390" s="31" t="s">
        <v>40</v>
      </c>
      <c r="D390" s="32" t="s">
        <v>39</v>
      </c>
      <c r="E390" s="4">
        <f>[1]Source!AT236</f>
        <v>70</v>
      </c>
      <c r="F390" s="33"/>
      <c r="G390" s="34"/>
      <c r="H390" s="4"/>
      <c r="I390" s="4"/>
      <c r="J390" s="33">
        <f>SUM(AC387:AC389)</f>
        <v>226279.26</v>
      </c>
      <c r="K390" s="33"/>
      <c r="M390"/>
      <c r="N390"/>
      <c r="O390"/>
      <c r="P390"/>
      <c r="Q390"/>
    </row>
    <row r="391" spans="1:33" ht="14.25" x14ac:dyDescent="0.2">
      <c r="A391" s="31"/>
      <c r="B391" s="31"/>
      <c r="C391" s="31" t="s">
        <v>41</v>
      </c>
      <c r="D391" s="32" t="s">
        <v>39</v>
      </c>
      <c r="E391" s="4">
        <f>[1]Source!AU236</f>
        <v>10</v>
      </c>
      <c r="F391" s="33"/>
      <c r="G391" s="34"/>
      <c r="H391" s="4"/>
      <c r="I391" s="4"/>
      <c r="J391" s="33">
        <f>SUM(AE387:AE390)</f>
        <v>32325.61</v>
      </c>
      <c r="K391" s="33"/>
      <c r="M391"/>
      <c r="N391"/>
      <c r="O391"/>
      <c r="P391"/>
      <c r="Q391"/>
    </row>
    <row r="392" spans="1:33" ht="14.25" x14ac:dyDescent="0.2">
      <c r="A392" s="31"/>
      <c r="B392" s="31"/>
      <c r="C392" s="31" t="s">
        <v>42</v>
      </c>
      <c r="D392" s="32" t="s">
        <v>43</v>
      </c>
      <c r="E392" s="4">
        <f>[1]Source!AQ236</f>
        <v>0.47</v>
      </c>
      <c r="F392" s="33"/>
      <c r="G392" s="34" t="str">
        <f>[1]Source!DI236</f>
        <v>)*4*168</v>
      </c>
      <c r="H392" s="4">
        <f>[1]Source!AV236</f>
        <v>1</v>
      </c>
      <c r="I392" s="4"/>
      <c r="J392" s="33"/>
      <c r="K392" s="33">
        <f>[1]Source!U236</f>
        <v>1303.7875199999999</v>
      </c>
      <c r="M392"/>
      <c r="N392"/>
      <c r="O392"/>
      <c r="P392"/>
      <c r="Q392"/>
    </row>
    <row r="393" spans="1:33" ht="15" x14ac:dyDescent="0.25">
      <c r="A393" s="35"/>
      <c r="B393" s="35"/>
      <c r="C393" s="35"/>
      <c r="D393" s="35"/>
      <c r="E393" s="35"/>
      <c r="F393" s="35"/>
      <c r="G393" s="35"/>
      <c r="H393" s="35"/>
      <c r="I393" s="36">
        <f>J389+J390+J391</f>
        <v>581860.95000000007</v>
      </c>
      <c r="J393" s="36"/>
      <c r="K393" s="37">
        <f>IF([1]Source!I236&lt;&gt;0, ROUND(I393/[1]Source!I236, 2), 0)</f>
        <v>140954.69</v>
      </c>
      <c r="M393"/>
      <c r="N393"/>
      <c r="O393"/>
      <c r="P393"/>
      <c r="Q393"/>
      <c r="AA393" s="38">
        <f>I393</f>
        <v>581860.95000000007</v>
      </c>
    </row>
    <row r="394" spans="1:33" ht="57" x14ac:dyDescent="0.2">
      <c r="A394" s="31">
        <v>58</v>
      </c>
      <c r="B394" s="31" t="str">
        <f>[1]Source!F237</f>
        <v>5.3-1102-24-1/1</v>
      </c>
      <c r="C394" s="31" t="str">
        <f>[1]Source!G237</f>
        <v>Уборка свежевыпавшего снега ручной самоходной машиной - ширина захвата 120 см ( S= 3440 м2*0,2=688 м2 )</v>
      </c>
      <c r="D394" s="32" t="str">
        <f>[1]Source!H237</f>
        <v>100 м2</v>
      </c>
      <c r="E394" s="4">
        <f>[1]Source!I237</f>
        <v>6.88</v>
      </c>
      <c r="F394" s="33"/>
      <c r="G394" s="34"/>
      <c r="H394" s="4"/>
      <c r="I394" s="4"/>
      <c r="J394" s="33"/>
      <c r="K394" s="33"/>
      <c r="M394"/>
      <c r="N394"/>
      <c r="O394"/>
      <c r="P394"/>
      <c r="Q394"/>
      <c r="AB394">
        <f>ROUND(([1]Source!BZ237/100)*ROUND(([1]Source!AF237*[1]Source!AV237)*[1]Source!I237, 2), 2)</f>
        <v>314120.32000000001</v>
      </c>
      <c r="AC394">
        <f>[1]Source!X237</f>
        <v>314120.32000000001</v>
      </c>
      <c r="AD394">
        <f>ROUND(([1]Source!CA237/100)*ROUND(([1]Source!AF237*[1]Source!AV237)*[1]Source!I237, 2), 2)</f>
        <v>44874.33</v>
      </c>
      <c r="AE394">
        <f>[1]Source!Y237</f>
        <v>44874.33</v>
      </c>
      <c r="AF394">
        <f>ROUND((175/100)*ROUND(([1]Source!AE237*[1]Source!AV237)*[1]Source!I237, 2), 2)</f>
        <v>728.18</v>
      </c>
      <c r="AG394">
        <f>ROUND((108/100)*ROUND([1]Source!CS237*[1]Source!I237, 2), 2)</f>
        <v>449.39</v>
      </c>
    </row>
    <row r="395" spans="1:33" x14ac:dyDescent="0.2">
      <c r="C395" s="40" t="str">
        <f>"Объем: "&amp;[1]Source!I237&amp;"=688/"&amp;"100"</f>
        <v>Объем: 6,88=688/100</v>
      </c>
      <c r="M395"/>
      <c r="N395"/>
      <c r="O395"/>
      <c r="P395"/>
      <c r="Q395"/>
    </row>
    <row r="396" spans="1:33" ht="14.25" x14ac:dyDescent="0.2">
      <c r="A396" s="31"/>
      <c r="B396" s="31"/>
      <c r="C396" s="31" t="s">
        <v>34</v>
      </c>
      <c r="D396" s="32"/>
      <c r="E396" s="4"/>
      <c r="F396" s="33">
        <f>[1]Source!AO237</f>
        <v>97.06</v>
      </c>
      <c r="G396" s="34" t="str">
        <f>[1]Source!DG237</f>
        <v>)*4*168</v>
      </c>
      <c r="H396" s="4">
        <f>[1]Source!AV237</f>
        <v>1</v>
      </c>
      <c r="I396" s="4">
        <f>IF([1]Source!BA237&lt;&gt; 0, [1]Source!BA237, 1)</f>
        <v>1</v>
      </c>
      <c r="J396" s="33">
        <f>[1]Source!S237</f>
        <v>448743.32</v>
      </c>
      <c r="K396" s="33"/>
      <c r="M396"/>
      <c r="N396"/>
      <c r="O396"/>
      <c r="P396"/>
      <c r="Q396"/>
    </row>
    <row r="397" spans="1:33" ht="14.25" x14ac:dyDescent="0.2">
      <c r="A397" s="31"/>
      <c r="B397" s="31"/>
      <c r="C397" s="31" t="s">
        <v>33</v>
      </c>
      <c r="D397" s="32"/>
      <c r="E397" s="4"/>
      <c r="F397" s="33">
        <f>[1]Source!AM237</f>
        <v>33.97</v>
      </c>
      <c r="G397" s="34" t="str">
        <f>[1]Source!DE237</f>
        <v>)*4*168</v>
      </c>
      <c r="H397" s="4">
        <f>[1]Source!AV237</f>
        <v>1</v>
      </c>
      <c r="I397" s="4">
        <f>IF([1]Source!BB237&lt;&gt; 0, [1]Source!BB237, 1)</f>
        <v>1</v>
      </c>
      <c r="J397" s="33">
        <f>[1]Source!Q237</f>
        <v>157055.54</v>
      </c>
      <c r="K397" s="33"/>
      <c r="M397"/>
      <c r="N397"/>
      <c r="O397"/>
      <c r="P397"/>
      <c r="Q397"/>
    </row>
    <row r="398" spans="1:33" ht="14.25" x14ac:dyDescent="0.2">
      <c r="A398" s="31"/>
      <c r="B398" s="31"/>
      <c r="C398" s="31" t="s">
        <v>37</v>
      </c>
      <c r="D398" s="32"/>
      <c r="E398" s="4"/>
      <c r="F398" s="33">
        <f>[1]Source!AN237</f>
        <v>0.09</v>
      </c>
      <c r="G398" s="34" t="str">
        <f>[1]Source!DF237</f>
        <v>)*4*168</v>
      </c>
      <c r="H398" s="4">
        <f>[1]Source!AV237</f>
        <v>1</v>
      </c>
      <c r="I398" s="4">
        <f>IF([1]Source!BS237&lt;&gt; 0, [1]Source!BS237, 1)</f>
        <v>1</v>
      </c>
      <c r="J398" s="41">
        <f>[1]Source!R237</f>
        <v>416.1</v>
      </c>
      <c r="K398" s="33"/>
      <c r="M398"/>
      <c r="N398"/>
      <c r="O398"/>
      <c r="P398"/>
      <c r="Q398"/>
    </row>
    <row r="399" spans="1:33" ht="14.25" x14ac:dyDescent="0.2">
      <c r="A399" s="31"/>
      <c r="B399" s="31"/>
      <c r="C399" s="31" t="s">
        <v>40</v>
      </c>
      <c r="D399" s="32" t="s">
        <v>39</v>
      </c>
      <c r="E399" s="4">
        <f>[1]Source!AT237</f>
        <v>70</v>
      </c>
      <c r="F399" s="33"/>
      <c r="G399" s="34"/>
      <c r="H399" s="4"/>
      <c r="I399" s="4"/>
      <c r="J399" s="33">
        <f>SUM(AC394:AC398)</f>
        <v>314120.32000000001</v>
      </c>
      <c r="K399" s="33"/>
      <c r="M399"/>
      <c r="N399"/>
      <c r="O399"/>
      <c r="P399"/>
      <c r="Q399"/>
    </row>
    <row r="400" spans="1:33" ht="14.25" x14ac:dyDescent="0.2">
      <c r="A400" s="31"/>
      <c r="B400" s="31"/>
      <c r="C400" s="31" t="s">
        <v>41</v>
      </c>
      <c r="D400" s="32" t="s">
        <v>39</v>
      </c>
      <c r="E400" s="4">
        <f>[1]Source!AU237</f>
        <v>10</v>
      </c>
      <c r="F400" s="33"/>
      <c r="G400" s="34"/>
      <c r="H400" s="4"/>
      <c r="I400" s="4"/>
      <c r="J400" s="33">
        <f>SUM(AE394:AE399)</f>
        <v>44874.33</v>
      </c>
      <c r="K400" s="33"/>
      <c r="M400"/>
      <c r="N400"/>
      <c r="O400"/>
      <c r="P400"/>
      <c r="Q400"/>
    </row>
    <row r="401" spans="1:33" ht="14.25" x14ac:dyDescent="0.2">
      <c r="A401" s="31"/>
      <c r="B401" s="31"/>
      <c r="C401" s="31" t="s">
        <v>38</v>
      </c>
      <c r="D401" s="32" t="s">
        <v>39</v>
      </c>
      <c r="E401" s="4">
        <f>108</f>
        <v>108</v>
      </c>
      <c r="F401" s="33"/>
      <c r="G401" s="34"/>
      <c r="H401" s="4"/>
      <c r="I401" s="4"/>
      <c r="J401" s="33">
        <f>SUM(AG394:AG400)</f>
        <v>449.39</v>
      </c>
      <c r="K401" s="33"/>
      <c r="M401"/>
      <c r="N401"/>
      <c r="O401"/>
      <c r="P401"/>
      <c r="Q401"/>
    </row>
    <row r="402" spans="1:33" ht="14.25" x14ac:dyDescent="0.2">
      <c r="A402" s="31"/>
      <c r="B402" s="31"/>
      <c r="C402" s="31" t="s">
        <v>42</v>
      </c>
      <c r="D402" s="32" t="s">
        <v>43</v>
      </c>
      <c r="E402" s="4">
        <f>[1]Source!AQ237</f>
        <v>0.35</v>
      </c>
      <c r="F402" s="33"/>
      <c r="G402" s="34" t="str">
        <f>[1]Source!DI237</f>
        <v>)*4*168</v>
      </c>
      <c r="H402" s="4">
        <f>[1]Source!AV237</f>
        <v>1</v>
      </c>
      <c r="I402" s="4"/>
      <c r="J402" s="33"/>
      <c r="K402" s="33">
        <f>[1]Source!U237</f>
        <v>1618.1759999999999</v>
      </c>
      <c r="M402"/>
      <c r="N402"/>
      <c r="O402"/>
      <c r="P402"/>
      <c r="Q402"/>
    </row>
    <row r="403" spans="1:33" ht="15" x14ac:dyDescent="0.25">
      <c r="A403" s="35"/>
      <c r="B403" s="35"/>
      <c r="C403" s="35"/>
      <c r="D403" s="35"/>
      <c r="E403" s="35"/>
      <c r="F403" s="35"/>
      <c r="G403" s="35"/>
      <c r="H403" s="35"/>
      <c r="I403" s="36">
        <f>J396+J397+J399+J400+J401</f>
        <v>965242.89999999991</v>
      </c>
      <c r="J403" s="36"/>
      <c r="K403" s="37">
        <f>IF([1]Source!I237&lt;&gt;0, ROUND(I403/[1]Source!I237, 2), 0)</f>
        <v>140296.93</v>
      </c>
      <c r="M403"/>
      <c r="N403"/>
      <c r="O403"/>
      <c r="P403"/>
      <c r="Q403"/>
      <c r="AA403" s="38">
        <f>I403</f>
        <v>965242.89999999991</v>
      </c>
    </row>
    <row r="404" spans="1:33" ht="42.75" x14ac:dyDescent="0.2">
      <c r="A404" s="31">
        <v>59</v>
      </c>
      <c r="B404" s="31" t="str">
        <f>[1]Source!F238</f>
        <v>5.3-1102-9-1/1</v>
      </c>
      <c r="C404" s="31" t="str">
        <f>[1]Source!G238</f>
        <v>Колка льда на обледеневших покрытиях вручную ( S=3440 м2*0,8*0,3*0,5=412,8 м2)</v>
      </c>
      <c r="D404" s="32" t="str">
        <f>[1]Source!H238</f>
        <v>100 м2</v>
      </c>
      <c r="E404" s="4">
        <f>[1]Source!I238</f>
        <v>4.1280000000000001</v>
      </c>
      <c r="F404" s="33"/>
      <c r="G404" s="34"/>
      <c r="H404" s="4"/>
      <c r="I404" s="4"/>
      <c r="J404" s="33"/>
      <c r="K404" s="33"/>
      <c r="M404"/>
      <c r="N404"/>
      <c r="O404"/>
      <c r="P404"/>
      <c r="Q404"/>
      <c r="AB404">
        <f>ROUND(([1]Source!BZ238/100)*ROUND(([1]Source!AF238*[1]Source!AV238)*[1]Source!I238, 2), 2)</f>
        <v>580125.81000000006</v>
      </c>
      <c r="AC404">
        <f>[1]Source!X238</f>
        <v>580125.81000000006</v>
      </c>
      <c r="AD404">
        <f>ROUND(([1]Source!CA238/100)*ROUND(([1]Source!AF238*[1]Source!AV238)*[1]Source!I238, 2), 2)</f>
        <v>82875.12</v>
      </c>
      <c r="AE404">
        <f>[1]Source!Y238</f>
        <v>82875.12</v>
      </c>
      <c r="AF404">
        <f>ROUND((175/100)*ROUND(([1]Source!AE238*[1]Source!AV238)*[1]Source!I238, 2), 2)</f>
        <v>0</v>
      </c>
      <c r="AG404">
        <f>ROUND((108/100)*ROUND([1]Source!CS238*[1]Source!I238, 2), 2)</f>
        <v>0</v>
      </c>
    </row>
    <row r="405" spans="1:33" x14ac:dyDescent="0.2">
      <c r="C405" s="40" t="str">
        <f>"Объем: "&amp;[1]Source!I238&amp;"=412,8/"&amp;"100"</f>
        <v>Объем: 4,128=412,8/100</v>
      </c>
      <c r="M405"/>
      <c r="N405"/>
      <c r="O405"/>
      <c r="P405"/>
      <c r="Q405"/>
    </row>
    <row r="406" spans="1:33" ht="14.25" x14ac:dyDescent="0.2">
      <c r="A406" s="31"/>
      <c r="B406" s="31"/>
      <c r="C406" s="31" t="s">
        <v>34</v>
      </c>
      <c r="D406" s="32"/>
      <c r="E406" s="4"/>
      <c r="F406" s="33">
        <f>[1]Source!AO238</f>
        <v>597.51</v>
      </c>
      <c r="G406" s="34" t="str">
        <f>[1]Source!DG238</f>
        <v>)*2*168</v>
      </c>
      <c r="H406" s="4">
        <f>[1]Source!AV238</f>
        <v>1</v>
      </c>
      <c r="I406" s="4">
        <f>IF([1]Source!BA238&lt;&gt; 0, [1]Source!BA238, 1)</f>
        <v>1</v>
      </c>
      <c r="J406" s="33">
        <f>[1]Source!S238</f>
        <v>828751.15</v>
      </c>
      <c r="K406" s="33"/>
      <c r="M406"/>
      <c r="N406"/>
      <c r="O406"/>
      <c r="P406"/>
      <c r="Q406"/>
    </row>
    <row r="407" spans="1:33" ht="14.25" x14ac:dyDescent="0.2">
      <c r="A407" s="31"/>
      <c r="B407" s="31"/>
      <c r="C407" s="31" t="s">
        <v>40</v>
      </c>
      <c r="D407" s="32" t="s">
        <v>39</v>
      </c>
      <c r="E407" s="4">
        <f>[1]Source!AT238</f>
        <v>70</v>
      </c>
      <c r="F407" s="33"/>
      <c r="G407" s="34"/>
      <c r="H407" s="4"/>
      <c r="I407" s="4"/>
      <c r="J407" s="33">
        <f>SUM(AC404:AC406)</f>
        <v>580125.81000000006</v>
      </c>
      <c r="K407" s="33"/>
      <c r="M407"/>
      <c r="N407"/>
      <c r="O407"/>
      <c r="P407"/>
      <c r="Q407"/>
    </row>
    <row r="408" spans="1:33" ht="14.25" x14ac:dyDescent="0.2">
      <c r="A408" s="31"/>
      <c r="B408" s="31"/>
      <c r="C408" s="31" t="s">
        <v>41</v>
      </c>
      <c r="D408" s="32" t="s">
        <v>39</v>
      </c>
      <c r="E408" s="4">
        <f>[1]Source!AU238</f>
        <v>10</v>
      </c>
      <c r="F408" s="33"/>
      <c r="G408" s="34"/>
      <c r="H408" s="4"/>
      <c r="I408" s="4"/>
      <c r="J408" s="33">
        <f>SUM(AE404:AE407)</f>
        <v>82875.12</v>
      </c>
      <c r="K408" s="33"/>
      <c r="M408"/>
      <c r="N408"/>
      <c r="O408"/>
      <c r="P408"/>
      <c r="Q408"/>
    </row>
    <row r="409" spans="1:33" ht="14.25" x14ac:dyDescent="0.2">
      <c r="A409" s="31"/>
      <c r="B409" s="31"/>
      <c r="C409" s="31" t="s">
        <v>42</v>
      </c>
      <c r="D409" s="32" t="s">
        <v>43</v>
      </c>
      <c r="E409" s="4">
        <f>[1]Source!AQ238</f>
        <v>2.41</v>
      </c>
      <c r="F409" s="33"/>
      <c r="G409" s="34" t="str">
        <f>[1]Source!DI238</f>
        <v>)*2*168</v>
      </c>
      <c r="H409" s="4">
        <f>[1]Source!AV238</f>
        <v>1</v>
      </c>
      <c r="I409" s="4"/>
      <c r="J409" s="33"/>
      <c r="K409" s="33">
        <f>[1]Source!U238</f>
        <v>3342.6892800000001</v>
      </c>
      <c r="M409"/>
      <c r="N409"/>
      <c r="O409"/>
      <c r="P409"/>
      <c r="Q409"/>
    </row>
    <row r="410" spans="1:33" ht="15" x14ac:dyDescent="0.25">
      <c r="A410" s="35"/>
      <c r="B410" s="35"/>
      <c r="C410" s="35"/>
      <c r="D410" s="35"/>
      <c r="E410" s="35"/>
      <c r="F410" s="35"/>
      <c r="G410" s="35"/>
      <c r="H410" s="35"/>
      <c r="I410" s="36">
        <f>J406+J407+J408</f>
        <v>1491752.08</v>
      </c>
      <c r="J410" s="36"/>
      <c r="K410" s="37">
        <f>IF([1]Source!I238&lt;&gt;0, ROUND(I410/[1]Source!I238, 2), 0)</f>
        <v>361374.05</v>
      </c>
      <c r="M410"/>
      <c r="N410"/>
      <c r="O410"/>
      <c r="P410"/>
      <c r="Q410"/>
      <c r="AA410" s="38">
        <f>I410</f>
        <v>1491752.08</v>
      </c>
    </row>
    <row r="411" spans="1:33" ht="28.5" x14ac:dyDescent="0.2">
      <c r="A411" s="31">
        <v>60</v>
      </c>
      <c r="B411" s="31" t="str">
        <f>[1]Source!F239</f>
        <v>калькуляция</v>
      </c>
      <c r="C411" s="31" t="str">
        <f>[1]Source!G239</f>
        <v>Посыпка  гранитной крошкой дорожных покрытий вручную( 100г/м2 )</v>
      </c>
      <c r="D411" s="32" t="str">
        <f>[1]Source!H239</f>
        <v>м2</v>
      </c>
      <c r="E411" s="4">
        <f>[1]Source!I239</f>
        <v>3440</v>
      </c>
      <c r="F411" s="33"/>
      <c r="G411" s="34"/>
      <c r="H411" s="4"/>
      <c r="I411" s="4"/>
      <c r="J411" s="33"/>
      <c r="K411" s="33"/>
      <c r="M411"/>
      <c r="N411"/>
      <c r="O411"/>
      <c r="P411"/>
      <c r="Q411"/>
      <c r="AB411">
        <f>ROUND(([1]Source!BZ239/100)*ROUND(([1]Source!AF239*[1]Source!AV239)*[1]Source!I239, 2), 2)</f>
        <v>0</v>
      </c>
      <c r="AC411">
        <f>[1]Source!X239</f>
        <v>0</v>
      </c>
      <c r="AD411">
        <f>ROUND(([1]Source!CA239/100)*ROUND(([1]Source!AF239*[1]Source!AV239)*[1]Source!I239, 2), 2)</f>
        <v>0</v>
      </c>
      <c r="AE411">
        <f>[1]Source!Y239</f>
        <v>0</v>
      </c>
      <c r="AF411">
        <f>ROUND((175/100)*ROUND(([1]Source!AE239*[1]Source!AV239)*[1]Source!I239, 2), 2)</f>
        <v>0</v>
      </c>
      <c r="AG411">
        <f>ROUND((108/100)*ROUND([1]Source!CS239*[1]Source!I239, 2), 2)</f>
        <v>0</v>
      </c>
    </row>
    <row r="412" spans="1:33" ht="14.25" x14ac:dyDescent="0.2">
      <c r="A412" s="31"/>
      <c r="B412" s="31"/>
      <c r="C412" s="31" t="s">
        <v>34</v>
      </c>
      <c r="D412" s="32"/>
      <c r="E412" s="4"/>
      <c r="F412" s="33">
        <f>[1]Source!AO239</f>
        <v>2.08</v>
      </c>
      <c r="G412" s="34" t="str">
        <f>[1]Source!DG239</f>
        <v>)*4*168</v>
      </c>
      <c r="H412" s="4">
        <f>[1]Source!AV239</f>
        <v>1</v>
      </c>
      <c r="I412" s="4">
        <f>IF([1]Source!BA239&lt;&gt; 0, [1]Source!BA239, 1)</f>
        <v>1</v>
      </c>
      <c r="J412" s="33">
        <f>[1]Source!S239</f>
        <v>4808294.4000000004</v>
      </c>
      <c r="K412" s="33"/>
      <c r="M412"/>
      <c r="N412"/>
      <c r="O412"/>
      <c r="P412"/>
      <c r="Q412"/>
    </row>
    <row r="413" spans="1:33" ht="14.25" x14ac:dyDescent="0.2">
      <c r="A413" s="31" t="s">
        <v>58</v>
      </c>
      <c r="B413" s="31" t="str">
        <f>[1]Source!F240</f>
        <v>цена поставщика</v>
      </c>
      <c r="C413" s="31" t="str">
        <f>[1]Source!G240</f>
        <v>Крошка гранитная</v>
      </c>
      <c r="D413" s="32" t="str">
        <f>[1]Source!H240</f>
        <v>кг</v>
      </c>
      <c r="E413" s="4">
        <f>[1]Source!I240</f>
        <v>231168</v>
      </c>
      <c r="F413" s="33">
        <f>[1]Source!AK240</f>
        <v>4.43</v>
      </c>
      <c r="G413" s="39" t="s">
        <v>45</v>
      </c>
      <c r="H413" s="4">
        <f>[1]Source!AW240</f>
        <v>1</v>
      </c>
      <c r="I413" s="4">
        <f>IF([1]Source!BC240&lt;&gt; 0, [1]Source!BC240, 1)</f>
        <v>1</v>
      </c>
      <c r="J413" s="33">
        <f>[1]Source!O240</f>
        <v>1024074.24</v>
      </c>
      <c r="K413" s="33"/>
      <c r="M413"/>
      <c r="N413"/>
      <c r="O413"/>
      <c r="P413"/>
      <c r="Q413"/>
      <c r="AB413">
        <f>ROUND(([1]Source!BZ240/100)*ROUND(([1]Source!AF240*[1]Source!AV240)*[1]Source!I240, 2), 2)</f>
        <v>0</v>
      </c>
      <c r="AC413">
        <f>[1]Source!X240</f>
        <v>0</v>
      </c>
      <c r="AD413">
        <f>ROUND(([1]Source!CA240/100)*ROUND(([1]Source!AF240*[1]Source!AV240)*[1]Source!I240, 2), 2)</f>
        <v>0</v>
      </c>
      <c r="AE413">
        <f>[1]Source!Y240</f>
        <v>0</v>
      </c>
      <c r="AF413">
        <f>ROUND((175/100)*ROUND(([1]Source!AE240*[1]Source!AV240)*[1]Source!I240, 2), 2)</f>
        <v>0</v>
      </c>
      <c r="AG413">
        <f>ROUND((108/100)*ROUND([1]Source!CS240*[1]Source!I240, 2), 2)</f>
        <v>0</v>
      </c>
    </row>
    <row r="414" spans="1:33" ht="15" x14ac:dyDescent="0.25">
      <c r="A414" s="35"/>
      <c r="B414" s="35"/>
      <c r="C414" s="35"/>
      <c r="D414" s="35"/>
      <c r="E414" s="35"/>
      <c r="F414" s="35"/>
      <c r="G414" s="35"/>
      <c r="H414" s="35"/>
      <c r="I414" s="36">
        <f>J412+SUM(J413:J413)</f>
        <v>5832368.6400000006</v>
      </c>
      <c r="J414" s="36"/>
      <c r="K414" s="37">
        <f>IF([1]Source!I239&lt;&gt;0, ROUND(I414/[1]Source!I239, 2), 0)</f>
        <v>1695.46</v>
      </c>
      <c r="M414"/>
      <c r="N414"/>
      <c r="O414"/>
      <c r="P414"/>
      <c r="Q414"/>
      <c r="AA414" s="38">
        <f>I414</f>
        <v>5832368.6400000006</v>
      </c>
    </row>
    <row r="415" spans="1:33" ht="28.5" x14ac:dyDescent="0.2">
      <c r="A415" s="31">
        <v>61</v>
      </c>
      <c r="B415" s="31" t="str">
        <f>[1]Source!F241</f>
        <v>5.4-1201-1-1/1</v>
      </c>
      <c r="C415" s="31" t="str">
        <f>[1]Source!G241</f>
        <v>Сбор случайного мусора по территории</v>
      </c>
      <c r="D415" s="32" t="str">
        <f>[1]Source!H241</f>
        <v>100 м2</v>
      </c>
      <c r="E415" s="4">
        <f>[1]Source!I241</f>
        <v>34.4</v>
      </c>
      <c r="F415" s="33"/>
      <c r="G415" s="34"/>
      <c r="H415" s="4"/>
      <c r="I415" s="4"/>
      <c r="J415" s="33"/>
      <c r="K415" s="33"/>
      <c r="M415"/>
      <c r="N415"/>
      <c r="O415"/>
      <c r="P415"/>
      <c r="Q415"/>
      <c r="AB415">
        <f>ROUND(([1]Source!BZ241/100)*ROUND(([1]Source!AF241*[1]Source!AV241)*[1]Source!I241, 2), 2)</f>
        <v>396530.18</v>
      </c>
      <c r="AC415">
        <f>[1]Source!X241</f>
        <v>396530.18</v>
      </c>
      <c r="AD415">
        <f>ROUND(([1]Source!CA241/100)*ROUND(([1]Source!AF241*[1]Source!AV241)*[1]Source!I241, 2), 2)</f>
        <v>56647.17</v>
      </c>
      <c r="AE415">
        <f>[1]Source!Y241</f>
        <v>56647.17</v>
      </c>
      <c r="AF415">
        <f>ROUND((175/100)*ROUND(([1]Source!AE241*[1]Source!AV241)*[1]Source!I241, 2), 2)</f>
        <v>0</v>
      </c>
      <c r="AG415">
        <f>ROUND((108/100)*ROUND([1]Source!CS241*[1]Source!I241, 2), 2)</f>
        <v>0</v>
      </c>
    </row>
    <row r="416" spans="1:33" x14ac:dyDescent="0.2">
      <c r="C416" s="40" t="str">
        <f>"Объем: "&amp;[1]Source!I241&amp;"=3440/"&amp;"100"</f>
        <v>Объем: 34,4=3440/100</v>
      </c>
      <c r="M416"/>
      <c r="N416"/>
      <c r="O416"/>
      <c r="P416"/>
      <c r="Q416"/>
    </row>
    <row r="417" spans="1:43" ht="14.25" x14ac:dyDescent="0.2">
      <c r="A417" s="31"/>
      <c r="B417" s="31"/>
      <c r="C417" s="31" t="s">
        <v>34</v>
      </c>
      <c r="D417" s="32"/>
      <c r="E417" s="4"/>
      <c r="F417" s="33">
        <f>[1]Source!AO241</f>
        <v>12.4</v>
      </c>
      <c r="G417" s="34" t="str">
        <f>[1]Source!DG241</f>
        <v>)*4*332</v>
      </c>
      <c r="H417" s="4">
        <f>[1]Source!AV241</f>
        <v>1</v>
      </c>
      <c r="I417" s="4">
        <f>IF([1]Source!BA241&lt;&gt; 0, [1]Source!BA241, 1)</f>
        <v>1</v>
      </c>
      <c r="J417" s="33">
        <f>[1]Source!S241</f>
        <v>566471.68000000005</v>
      </c>
      <c r="K417" s="33"/>
      <c r="M417"/>
      <c r="N417"/>
      <c r="O417"/>
      <c r="P417"/>
      <c r="Q417"/>
    </row>
    <row r="418" spans="1:43" ht="14.25" x14ac:dyDescent="0.2">
      <c r="A418" s="31"/>
      <c r="B418" s="31"/>
      <c r="C418" s="31" t="s">
        <v>47</v>
      </c>
      <c r="D418" s="32"/>
      <c r="E418" s="4"/>
      <c r="F418" s="33">
        <f>[1]Source!AL241</f>
        <v>0.69</v>
      </c>
      <c r="G418" s="34" t="str">
        <f>[1]Source!DD241</f>
        <v>)*4*332</v>
      </c>
      <c r="H418" s="4">
        <f>[1]Source!AW241</f>
        <v>1</v>
      </c>
      <c r="I418" s="4">
        <f>IF([1]Source!BC241&lt;&gt; 0, [1]Source!BC241, 1)</f>
        <v>1</v>
      </c>
      <c r="J418" s="33">
        <f>[1]Source!P241</f>
        <v>31521.41</v>
      </c>
      <c r="K418" s="33"/>
      <c r="M418"/>
      <c r="N418"/>
      <c r="O418"/>
      <c r="P418"/>
      <c r="Q418"/>
    </row>
    <row r="419" spans="1:43" ht="14.25" x14ac:dyDescent="0.2">
      <c r="A419" s="31"/>
      <c r="B419" s="31"/>
      <c r="C419" s="31" t="s">
        <v>40</v>
      </c>
      <c r="D419" s="32" t="s">
        <v>39</v>
      </c>
      <c r="E419" s="4">
        <f>[1]Source!AT241</f>
        <v>70</v>
      </c>
      <c r="F419" s="33"/>
      <c r="G419" s="34"/>
      <c r="H419" s="4"/>
      <c r="I419" s="4"/>
      <c r="J419" s="33">
        <f>SUM(AC415:AC418)</f>
        <v>396530.18</v>
      </c>
      <c r="K419" s="33"/>
      <c r="M419"/>
      <c r="N419"/>
      <c r="O419"/>
      <c r="P419"/>
      <c r="Q419"/>
    </row>
    <row r="420" spans="1:43" ht="14.25" x14ac:dyDescent="0.2">
      <c r="A420" s="31"/>
      <c r="B420" s="31"/>
      <c r="C420" s="31" t="s">
        <v>41</v>
      </c>
      <c r="D420" s="32" t="s">
        <v>39</v>
      </c>
      <c r="E420" s="4">
        <f>[1]Source!AU241</f>
        <v>10</v>
      </c>
      <c r="F420" s="33"/>
      <c r="G420" s="34"/>
      <c r="H420" s="4"/>
      <c r="I420" s="4"/>
      <c r="J420" s="33">
        <f>SUM(AE415:AE419)</f>
        <v>56647.17</v>
      </c>
      <c r="K420" s="33"/>
      <c r="M420"/>
      <c r="N420"/>
      <c r="O420"/>
      <c r="P420"/>
      <c r="Q420"/>
    </row>
    <row r="421" spans="1:43" ht="14.25" x14ac:dyDescent="0.2">
      <c r="A421" s="31"/>
      <c r="B421" s="31"/>
      <c r="C421" s="31" t="s">
        <v>42</v>
      </c>
      <c r="D421" s="32" t="s">
        <v>43</v>
      </c>
      <c r="E421" s="4">
        <f>[1]Source!AQ241</f>
        <v>0.05</v>
      </c>
      <c r="F421" s="33"/>
      <c r="G421" s="34" t="str">
        <f>[1]Source!DI241</f>
        <v>)*4*332</v>
      </c>
      <c r="H421" s="4">
        <f>[1]Source!AV241</f>
        <v>1</v>
      </c>
      <c r="I421" s="4"/>
      <c r="J421" s="33"/>
      <c r="K421" s="33">
        <f>[1]Source!U241</f>
        <v>2284.1600000000003</v>
      </c>
      <c r="M421"/>
      <c r="N421"/>
      <c r="O421"/>
      <c r="P421"/>
      <c r="Q421"/>
    </row>
    <row r="422" spans="1:43" ht="15" x14ac:dyDescent="0.25">
      <c r="A422" s="35"/>
      <c r="B422" s="35"/>
      <c r="C422" s="35"/>
      <c r="D422" s="35"/>
      <c r="E422" s="35"/>
      <c r="F422" s="35"/>
      <c r="G422" s="35"/>
      <c r="H422" s="35"/>
      <c r="I422" s="36">
        <f>J417+J418+J419+J420</f>
        <v>1051170.44</v>
      </c>
      <c r="J422" s="36"/>
      <c r="K422" s="37">
        <f>IF([1]Source!I241&lt;&gt;0, ROUND(I422/[1]Source!I241, 2), 0)</f>
        <v>30557.279999999999</v>
      </c>
      <c r="M422"/>
      <c r="N422"/>
      <c r="O422"/>
      <c r="P422"/>
      <c r="Q422"/>
      <c r="AA422" s="38">
        <f>I422</f>
        <v>1051170.44</v>
      </c>
    </row>
    <row r="423" spans="1:43" x14ac:dyDescent="0.2">
      <c r="M423"/>
      <c r="N423"/>
      <c r="O423"/>
      <c r="P423"/>
      <c r="Q423"/>
    </row>
    <row r="424" spans="1:43" ht="30" x14ac:dyDescent="0.25">
      <c r="A424" s="42" t="str">
        <f>CONCATENATE("Итого по разделу: ",IF([1]Source!G243&lt;&gt;"Новый раздел", [1]Source!G243, ""))</f>
        <v>Итого по разделу: Содержание садово-парковых дорожек с мощением парковым пиксельным ( 50% ) ( S=3440 м2 )</v>
      </c>
      <c r="B424" s="42"/>
      <c r="C424" s="42"/>
      <c r="D424" s="42"/>
      <c r="E424" s="42"/>
      <c r="F424" s="42"/>
      <c r="G424" s="42"/>
      <c r="H424" s="42"/>
      <c r="I424" s="43">
        <f>SUM(AA362:AA423)</f>
        <v>16688236.76</v>
      </c>
      <c r="J424" s="44"/>
      <c r="K424" s="47"/>
      <c r="L424" s="38">
        <f>I424</f>
        <v>16688236.76</v>
      </c>
      <c r="M424" s="2">
        <f>ROUND(I424*$I$4874,2)</f>
        <v>12052358.859999999</v>
      </c>
      <c r="N424" s="2">
        <f>ROUND(M424*1.2/105*100,2)</f>
        <v>13774124.41</v>
      </c>
      <c r="O424" s="2">
        <f>ROUND(N424*0.05,2)</f>
        <v>688706.22</v>
      </c>
      <c r="P424" s="2">
        <f>N424+O424</f>
        <v>14462830.630000001</v>
      </c>
      <c r="Q424" s="3">
        <v>17</v>
      </c>
      <c r="R424">
        <v>2</v>
      </c>
      <c r="S424" s="2">
        <v>2651888.89</v>
      </c>
      <c r="AQ424" s="46" t="str">
        <f>CONCATENATE("Итого по разделу: ",IF([1]Source!G243&lt;&gt;"Новый раздел", [1]Source!G243, ""))</f>
        <v>Итого по разделу: Содержание садово-парковых дорожек с мощением парковым пиксельным ( 50% ) ( S=3440 м2 )</v>
      </c>
    </row>
    <row r="425" spans="1:43" x14ac:dyDescent="0.2">
      <c r="M425"/>
      <c r="N425"/>
      <c r="O425"/>
      <c r="P425"/>
      <c r="Q425"/>
    </row>
    <row r="426" spans="1:43" x14ac:dyDescent="0.2">
      <c r="M426"/>
      <c r="N426"/>
      <c r="O426"/>
      <c r="P426"/>
      <c r="Q426"/>
    </row>
    <row r="427" spans="1:43" ht="16.5" x14ac:dyDescent="0.25">
      <c r="A427" s="29" t="str">
        <f>CONCATENATE("Раздел: ",IF([1]Source!G273&lt;&gt;"Новый раздел", [1]Source!G273, ""))</f>
        <v>Раздел: Содержание дорожек с мощением 50% пешеходным ( S= 200 м2 ( МКЗ ).</v>
      </c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M427"/>
      <c r="N427"/>
      <c r="O427"/>
      <c r="P427"/>
      <c r="Q427"/>
    </row>
    <row r="428" spans="1:43" ht="28.5" x14ac:dyDescent="0.2">
      <c r="A428" s="31">
        <v>62</v>
      </c>
      <c r="B428" s="31" t="str">
        <f>[1]Source!F277</f>
        <v>калькуляция</v>
      </c>
      <c r="C428" s="31" t="str">
        <f>[1]Source!G277</f>
        <v>Подметание дорожек  вручную ( S=200 м2)</v>
      </c>
      <c r="D428" s="32" t="str">
        <f>[1]Source!H277</f>
        <v>м2</v>
      </c>
      <c r="E428" s="4">
        <f>[1]Source!I277</f>
        <v>200</v>
      </c>
      <c r="F428" s="33"/>
      <c r="G428" s="34"/>
      <c r="H428" s="4"/>
      <c r="I428" s="4"/>
      <c r="J428" s="33"/>
      <c r="K428" s="33"/>
      <c r="M428"/>
      <c r="N428"/>
      <c r="O428"/>
      <c r="P428"/>
      <c r="Q428"/>
      <c r="AB428">
        <f>ROUND(([1]Source!BZ277/100)*ROUND(([1]Source!AF277*[1]Source!AV277)*[1]Source!I277, 2), 2)</f>
        <v>0</v>
      </c>
      <c r="AC428">
        <f>[1]Source!X277</f>
        <v>0</v>
      </c>
      <c r="AD428">
        <f>ROUND(([1]Source!CA277/100)*ROUND(([1]Source!AF277*[1]Source!AV277)*[1]Source!I277, 2), 2)</f>
        <v>0</v>
      </c>
      <c r="AE428">
        <f>[1]Source!Y277</f>
        <v>0</v>
      </c>
      <c r="AF428">
        <f>ROUND((175/100)*ROUND(([1]Source!AE277*[1]Source!AV277)*[1]Source!I277, 2), 2)</f>
        <v>0</v>
      </c>
      <c r="AG428">
        <f>ROUND((108/100)*ROUND([1]Source!CS277*[1]Source!I277, 2), 2)</f>
        <v>0</v>
      </c>
    </row>
    <row r="429" spans="1:43" ht="14.25" x14ac:dyDescent="0.2">
      <c r="A429" s="31"/>
      <c r="B429" s="31"/>
      <c r="C429" s="31" t="s">
        <v>34</v>
      </c>
      <c r="D429" s="32"/>
      <c r="E429" s="4"/>
      <c r="F429" s="33">
        <f>[1]Source!AO277</f>
        <v>1.32</v>
      </c>
      <c r="G429" s="34" t="str">
        <f>[1]Source!DG277</f>
        <v>)*4*164</v>
      </c>
      <c r="H429" s="4">
        <f>[1]Source!AV277</f>
        <v>1</v>
      </c>
      <c r="I429" s="4">
        <f>IF([1]Source!BA277&lt;&gt; 0, [1]Source!BA277, 1)</f>
        <v>1</v>
      </c>
      <c r="J429" s="33">
        <f>[1]Source!S277</f>
        <v>173184</v>
      </c>
      <c r="K429" s="33"/>
      <c r="M429"/>
      <c r="N429"/>
      <c r="O429"/>
      <c r="P429"/>
      <c r="Q429"/>
    </row>
    <row r="430" spans="1:43" ht="15" x14ac:dyDescent="0.25">
      <c r="A430" s="35"/>
      <c r="B430" s="35"/>
      <c r="C430" s="35"/>
      <c r="D430" s="35"/>
      <c r="E430" s="35"/>
      <c r="F430" s="35"/>
      <c r="G430" s="35"/>
      <c r="H430" s="35"/>
      <c r="I430" s="36">
        <f>J429</f>
        <v>173184</v>
      </c>
      <c r="J430" s="36"/>
      <c r="K430" s="37">
        <f>IF([1]Source!I277&lt;&gt;0, ROUND(I430/[1]Source!I277, 2), 0)</f>
        <v>865.92</v>
      </c>
      <c r="M430"/>
      <c r="N430"/>
      <c r="O430"/>
      <c r="P430"/>
      <c r="Q430"/>
      <c r="AA430" s="38">
        <f>I430</f>
        <v>173184</v>
      </c>
    </row>
    <row r="431" spans="1:43" ht="42.75" x14ac:dyDescent="0.2">
      <c r="A431" s="31">
        <v>63</v>
      </c>
      <c r="B431" s="31" t="str">
        <f>[1]Source!F278</f>
        <v>5.3-1102-8-1/1</v>
      </c>
      <c r="C431" s="31" t="str">
        <f>[1]Source!G278</f>
        <v>Уборка свежевыпавшего снега вручную толщиной слоя до 10 см ( S= 200 м2* 0,8*0,7*0,5 =56 м2)</v>
      </c>
      <c r="D431" s="32" t="str">
        <f>[1]Source!H278</f>
        <v>100 м2</v>
      </c>
      <c r="E431" s="4">
        <f>[1]Source!I278</f>
        <v>0.56000000000000005</v>
      </c>
      <c r="F431" s="33"/>
      <c r="G431" s="34"/>
      <c r="H431" s="4"/>
      <c r="I431" s="4"/>
      <c r="J431" s="33"/>
      <c r="K431" s="33"/>
      <c r="M431"/>
      <c r="N431"/>
      <c r="O431"/>
      <c r="P431"/>
      <c r="Q431"/>
      <c r="AB431">
        <f>ROUND(([1]Source!BZ278/100)*ROUND(([1]Source!AF278*[1]Source!AV278)*[1]Source!I278, 2), 2)</f>
        <v>42450.78</v>
      </c>
      <c r="AC431">
        <f>[1]Source!X278</f>
        <v>42450.78</v>
      </c>
      <c r="AD431">
        <f>ROUND(([1]Source!CA278/100)*ROUND(([1]Source!AF278*[1]Source!AV278)*[1]Source!I278, 2), 2)</f>
        <v>6064.4</v>
      </c>
      <c r="AE431">
        <f>[1]Source!Y278</f>
        <v>6064.4</v>
      </c>
      <c r="AF431">
        <f>ROUND((175/100)*ROUND(([1]Source!AE278*[1]Source!AV278)*[1]Source!I278, 2), 2)</f>
        <v>0</v>
      </c>
      <c r="AG431">
        <f>ROUND((108/100)*ROUND([1]Source!CS278*[1]Source!I278, 2), 2)</f>
        <v>0</v>
      </c>
    </row>
    <row r="432" spans="1:43" x14ac:dyDescent="0.2">
      <c r="C432" s="40" t="str">
        <f>"Объем: "&amp;[1]Source!I278&amp;"=56/"&amp;"100"</f>
        <v>Объем: 0,56=56/100</v>
      </c>
      <c r="M432"/>
      <c r="N432"/>
      <c r="O432"/>
      <c r="P432"/>
      <c r="Q432"/>
    </row>
    <row r="433" spans="1:33" ht="14.25" x14ac:dyDescent="0.2">
      <c r="A433" s="31"/>
      <c r="B433" s="31"/>
      <c r="C433" s="31" t="s">
        <v>34</v>
      </c>
      <c r="D433" s="32"/>
      <c r="E433" s="4"/>
      <c r="F433" s="33">
        <f>[1]Source!AO278</f>
        <v>161.15</v>
      </c>
      <c r="G433" s="34" t="str">
        <f>[1]Source!DG278</f>
        <v>)*4*168</v>
      </c>
      <c r="H433" s="4">
        <f>[1]Source!AV278</f>
        <v>1</v>
      </c>
      <c r="I433" s="4">
        <f>IF([1]Source!BA278&lt;&gt; 0, [1]Source!BA278, 1)</f>
        <v>1</v>
      </c>
      <c r="J433" s="33">
        <f>[1]Source!S278</f>
        <v>60643.97</v>
      </c>
      <c r="K433" s="33"/>
      <c r="M433"/>
      <c r="N433"/>
      <c r="O433"/>
      <c r="P433"/>
      <c r="Q433"/>
    </row>
    <row r="434" spans="1:33" ht="14.25" x14ac:dyDescent="0.2">
      <c r="A434" s="31"/>
      <c r="B434" s="31"/>
      <c r="C434" s="31" t="s">
        <v>40</v>
      </c>
      <c r="D434" s="32" t="s">
        <v>39</v>
      </c>
      <c r="E434" s="4">
        <f>[1]Source!AT278</f>
        <v>70</v>
      </c>
      <c r="F434" s="33"/>
      <c r="G434" s="34"/>
      <c r="H434" s="4"/>
      <c r="I434" s="4"/>
      <c r="J434" s="33">
        <f>SUM(AC431:AC433)</f>
        <v>42450.78</v>
      </c>
      <c r="K434" s="33"/>
      <c r="M434"/>
      <c r="N434"/>
      <c r="O434"/>
      <c r="P434"/>
      <c r="Q434"/>
    </row>
    <row r="435" spans="1:33" ht="14.25" x14ac:dyDescent="0.2">
      <c r="A435" s="31"/>
      <c r="B435" s="31"/>
      <c r="C435" s="31" t="s">
        <v>41</v>
      </c>
      <c r="D435" s="32" t="s">
        <v>39</v>
      </c>
      <c r="E435" s="4">
        <f>[1]Source!AU278</f>
        <v>10</v>
      </c>
      <c r="F435" s="33"/>
      <c r="G435" s="34"/>
      <c r="H435" s="4"/>
      <c r="I435" s="4"/>
      <c r="J435" s="33">
        <f>SUM(AE431:AE434)</f>
        <v>6064.4</v>
      </c>
      <c r="K435" s="33"/>
      <c r="M435"/>
      <c r="N435"/>
      <c r="O435"/>
      <c r="P435"/>
      <c r="Q435"/>
    </row>
    <row r="436" spans="1:33" ht="14.25" x14ac:dyDescent="0.2">
      <c r="A436" s="31"/>
      <c r="B436" s="31"/>
      <c r="C436" s="31" t="s">
        <v>42</v>
      </c>
      <c r="D436" s="32" t="s">
        <v>43</v>
      </c>
      <c r="E436" s="4">
        <f>[1]Source!AQ278</f>
        <v>0.65</v>
      </c>
      <c r="F436" s="33"/>
      <c r="G436" s="34" t="str">
        <f>[1]Source!DI278</f>
        <v>)*4*168</v>
      </c>
      <c r="H436" s="4">
        <f>[1]Source!AV278</f>
        <v>1</v>
      </c>
      <c r="I436" s="4"/>
      <c r="J436" s="33"/>
      <c r="K436" s="33">
        <f>[1]Source!U278</f>
        <v>244.60800000000003</v>
      </c>
      <c r="M436"/>
      <c r="N436"/>
      <c r="O436"/>
      <c r="P436"/>
      <c r="Q436"/>
    </row>
    <row r="437" spans="1:33" ht="15" x14ac:dyDescent="0.25">
      <c r="A437" s="35"/>
      <c r="B437" s="35"/>
      <c r="C437" s="35"/>
      <c r="D437" s="35"/>
      <c r="E437" s="35"/>
      <c r="F437" s="35"/>
      <c r="G437" s="35"/>
      <c r="H437" s="35"/>
      <c r="I437" s="36">
        <f>J433+J434+J435</f>
        <v>109159.15</v>
      </c>
      <c r="J437" s="36"/>
      <c r="K437" s="37">
        <f>IF([1]Source!I278&lt;&gt;0, ROUND(I437/[1]Source!I278, 2), 0)</f>
        <v>194927.05</v>
      </c>
      <c r="M437"/>
      <c r="N437"/>
      <c r="O437"/>
      <c r="P437"/>
      <c r="Q437"/>
      <c r="AA437" s="38">
        <f>I437</f>
        <v>109159.15</v>
      </c>
    </row>
    <row r="438" spans="1:33" ht="28.5" x14ac:dyDescent="0.2">
      <c r="A438" s="31">
        <v>64</v>
      </c>
      <c r="B438" s="31" t="str">
        <f>[1]Source!F279</f>
        <v>5.3-1102-8-3/1</v>
      </c>
      <c r="C438" s="31" t="str">
        <f>[1]Source!G279</f>
        <v>Уборка слежавшегося снега вручную( S=200 м2*0,8*0,7*0,5=0.56м2 )</v>
      </c>
      <c r="D438" s="32" t="str">
        <f>[1]Source!H279</f>
        <v>100 м2</v>
      </c>
      <c r="E438" s="4">
        <f>[1]Source!I279</f>
        <v>0.56000000000000005</v>
      </c>
      <c r="F438" s="33"/>
      <c r="G438" s="34"/>
      <c r="H438" s="4"/>
      <c r="I438" s="4"/>
      <c r="J438" s="33"/>
      <c r="K438" s="33"/>
      <c r="M438"/>
      <c r="N438"/>
      <c r="O438"/>
      <c r="P438"/>
      <c r="Q438"/>
      <c r="AB438">
        <f>ROUND(([1]Source!BZ279/100)*ROUND(([1]Source!AF279*[1]Source!AV279)*[1]Source!I279, 2), 2)</f>
        <v>24981.16</v>
      </c>
      <c r="AC438">
        <f>[1]Source!X279</f>
        <v>24981.16</v>
      </c>
      <c r="AD438">
        <f>ROUND(([1]Source!CA279/100)*ROUND(([1]Source!AF279*[1]Source!AV279)*[1]Source!I279, 2), 2)</f>
        <v>3568.74</v>
      </c>
      <c r="AE438">
        <f>[1]Source!Y279</f>
        <v>3568.74</v>
      </c>
      <c r="AF438">
        <f>ROUND((175/100)*ROUND(([1]Source!AE279*[1]Source!AV279)*[1]Source!I279, 2), 2)</f>
        <v>0</v>
      </c>
      <c r="AG438">
        <f>ROUND((108/100)*ROUND([1]Source!CS279*[1]Source!I279, 2), 2)</f>
        <v>0</v>
      </c>
    </row>
    <row r="439" spans="1:33" x14ac:dyDescent="0.2">
      <c r="C439" s="40" t="str">
        <f>"Объем: "&amp;[1]Source!I279&amp;"=56/"&amp;"100"</f>
        <v>Объем: 0,56=56/100</v>
      </c>
      <c r="M439"/>
      <c r="N439"/>
      <c r="O439"/>
      <c r="P439"/>
      <c r="Q439"/>
    </row>
    <row r="440" spans="1:33" ht="14.25" x14ac:dyDescent="0.2">
      <c r="A440" s="31"/>
      <c r="B440" s="31"/>
      <c r="C440" s="31" t="s">
        <v>34</v>
      </c>
      <c r="D440" s="32"/>
      <c r="E440" s="4"/>
      <c r="F440" s="33">
        <f>[1]Source!AO279</f>
        <v>379.33</v>
      </c>
      <c r="G440" s="34" t="str">
        <f>[1]Source!DG279</f>
        <v>)*1*168</v>
      </c>
      <c r="H440" s="4">
        <f>[1]Source!AV279</f>
        <v>1</v>
      </c>
      <c r="I440" s="4">
        <f>IF([1]Source!BA279&lt;&gt; 0, [1]Source!BA279, 1)</f>
        <v>1</v>
      </c>
      <c r="J440" s="33">
        <f>[1]Source!S279</f>
        <v>35687.370000000003</v>
      </c>
      <c r="K440" s="33"/>
      <c r="M440"/>
      <c r="N440"/>
      <c r="O440"/>
      <c r="P440"/>
      <c r="Q440"/>
    </row>
    <row r="441" spans="1:33" ht="14.25" x14ac:dyDescent="0.2">
      <c r="A441" s="31"/>
      <c r="B441" s="31"/>
      <c r="C441" s="31" t="s">
        <v>40</v>
      </c>
      <c r="D441" s="32" t="s">
        <v>39</v>
      </c>
      <c r="E441" s="4">
        <f>[1]Source!AT279</f>
        <v>70</v>
      </c>
      <c r="F441" s="33"/>
      <c r="G441" s="34"/>
      <c r="H441" s="4"/>
      <c r="I441" s="4"/>
      <c r="J441" s="33">
        <f>SUM(AC438:AC440)</f>
        <v>24981.16</v>
      </c>
      <c r="K441" s="33"/>
      <c r="M441"/>
      <c r="N441"/>
      <c r="O441"/>
      <c r="P441"/>
      <c r="Q441"/>
    </row>
    <row r="442" spans="1:33" ht="14.25" x14ac:dyDescent="0.2">
      <c r="A442" s="31"/>
      <c r="B442" s="31"/>
      <c r="C442" s="31" t="s">
        <v>41</v>
      </c>
      <c r="D442" s="32" t="s">
        <v>39</v>
      </c>
      <c r="E442" s="4">
        <f>[1]Source!AU279</f>
        <v>10</v>
      </c>
      <c r="F442" s="33"/>
      <c r="G442" s="34"/>
      <c r="H442" s="4"/>
      <c r="I442" s="4"/>
      <c r="J442" s="33">
        <f>SUM(AE438:AE441)</f>
        <v>3568.74</v>
      </c>
      <c r="K442" s="33"/>
      <c r="M442"/>
      <c r="N442"/>
      <c r="O442"/>
      <c r="P442"/>
      <c r="Q442"/>
    </row>
    <row r="443" spans="1:33" ht="14.25" x14ac:dyDescent="0.2">
      <c r="A443" s="31"/>
      <c r="B443" s="31"/>
      <c r="C443" s="31" t="s">
        <v>42</v>
      </c>
      <c r="D443" s="32" t="s">
        <v>43</v>
      </c>
      <c r="E443" s="4">
        <f>[1]Source!AQ279</f>
        <v>1.53</v>
      </c>
      <c r="F443" s="33"/>
      <c r="G443" s="34" t="str">
        <f>[1]Source!DI279</f>
        <v>)*1*168</v>
      </c>
      <c r="H443" s="4">
        <f>[1]Source!AV279</f>
        <v>1</v>
      </c>
      <c r="I443" s="4"/>
      <c r="J443" s="33"/>
      <c r="K443" s="33">
        <f>[1]Source!U279</f>
        <v>143.94240000000002</v>
      </c>
      <c r="M443"/>
      <c r="N443"/>
      <c r="O443"/>
      <c r="P443"/>
      <c r="Q443"/>
    </row>
    <row r="444" spans="1:33" ht="15" x14ac:dyDescent="0.25">
      <c r="A444" s="35"/>
      <c r="B444" s="35"/>
      <c r="C444" s="35"/>
      <c r="D444" s="35"/>
      <c r="E444" s="35"/>
      <c r="F444" s="35"/>
      <c r="G444" s="35"/>
      <c r="H444" s="35"/>
      <c r="I444" s="36">
        <f>J440+J441+J442</f>
        <v>64237.27</v>
      </c>
      <c r="J444" s="36"/>
      <c r="K444" s="37">
        <f>IF([1]Source!I279&lt;&gt;0, ROUND(I444/[1]Source!I279, 2), 0)</f>
        <v>114709.41</v>
      </c>
      <c r="M444"/>
      <c r="N444"/>
      <c r="O444"/>
      <c r="P444"/>
      <c r="Q444"/>
      <c r="AA444" s="38">
        <f>I444</f>
        <v>64237.27</v>
      </c>
    </row>
    <row r="445" spans="1:33" ht="42.75" x14ac:dyDescent="0.2">
      <c r="A445" s="31">
        <v>65</v>
      </c>
      <c r="B445" s="31" t="str">
        <f>[1]Source!F280</f>
        <v>5.3-1102-8-1/1</v>
      </c>
      <c r="C445" s="31" t="str">
        <f>[1]Source!G280</f>
        <v>Уборка свежевыпавшего снега вручную толщиной слоя до 10 см ( S= 200 м2* 0,8*0,3*0,5=24 м2)</v>
      </c>
      <c r="D445" s="32" t="str">
        <f>[1]Source!H280</f>
        <v>100 м2</v>
      </c>
      <c r="E445" s="4">
        <f>[1]Source!I280</f>
        <v>0.24</v>
      </c>
      <c r="F445" s="33"/>
      <c r="G445" s="34"/>
      <c r="H445" s="4"/>
      <c r="I445" s="4"/>
      <c r="J445" s="33"/>
      <c r="K445" s="33"/>
      <c r="M445"/>
      <c r="N445"/>
      <c r="O445"/>
      <c r="P445"/>
      <c r="Q445"/>
      <c r="AB445">
        <f>ROUND(([1]Source!BZ280/100)*ROUND(([1]Source!AF280*[1]Source!AV280)*[1]Source!I280, 2), 2)</f>
        <v>18193.189999999999</v>
      </c>
      <c r="AC445">
        <f>[1]Source!X280</f>
        <v>18193.189999999999</v>
      </c>
      <c r="AD445">
        <f>ROUND(([1]Source!CA280/100)*ROUND(([1]Source!AF280*[1]Source!AV280)*[1]Source!I280, 2), 2)</f>
        <v>2599.0300000000002</v>
      </c>
      <c r="AE445">
        <f>[1]Source!Y280</f>
        <v>2599.0300000000002</v>
      </c>
      <c r="AF445">
        <f>ROUND((175/100)*ROUND(([1]Source!AE280*[1]Source!AV280)*[1]Source!I280, 2), 2)</f>
        <v>0</v>
      </c>
      <c r="AG445">
        <f>ROUND((108/100)*ROUND([1]Source!CS280*[1]Source!I280, 2), 2)</f>
        <v>0</v>
      </c>
    </row>
    <row r="446" spans="1:33" x14ac:dyDescent="0.2">
      <c r="C446" s="40" t="str">
        <f>"Объем: "&amp;[1]Source!I280&amp;"=24/"&amp;"100"</f>
        <v>Объем: 0,24=24/100</v>
      </c>
      <c r="M446"/>
      <c r="N446"/>
      <c r="O446"/>
      <c r="P446"/>
      <c r="Q446"/>
    </row>
    <row r="447" spans="1:33" ht="14.25" x14ac:dyDescent="0.2">
      <c r="A447" s="31"/>
      <c r="B447" s="31"/>
      <c r="C447" s="31" t="s">
        <v>34</v>
      </c>
      <c r="D447" s="32"/>
      <c r="E447" s="4"/>
      <c r="F447" s="33">
        <f>[1]Source!AO280</f>
        <v>161.15</v>
      </c>
      <c r="G447" s="34" t="str">
        <f>[1]Source!DG280</f>
        <v>)*4*168</v>
      </c>
      <c r="H447" s="4">
        <f>[1]Source!AV280</f>
        <v>1</v>
      </c>
      <c r="I447" s="4">
        <f>IF([1]Source!BA280&lt;&gt; 0, [1]Source!BA280, 1)</f>
        <v>1</v>
      </c>
      <c r="J447" s="33">
        <f>[1]Source!S280</f>
        <v>25990.27</v>
      </c>
      <c r="K447" s="33"/>
      <c r="M447"/>
      <c r="N447"/>
      <c r="O447"/>
      <c r="P447"/>
      <c r="Q447"/>
    </row>
    <row r="448" spans="1:33" ht="14.25" x14ac:dyDescent="0.2">
      <c r="A448" s="31"/>
      <c r="B448" s="31"/>
      <c r="C448" s="31" t="s">
        <v>40</v>
      </c>
      <c r="D448" s="32" t="s">
        <v>39</v>
      </c>
      <c r="E448" s="4">
        <f>[1]Source!AT280</f>
        <v>70</v>
      </c>
      <c r="F448" s="33"/>
      <c r="G448" s="34"/>
      <c r="H448" s="4"/>
      <c r="I448" s="4"/>
      <c r="J448" s="33">
        <f>SUM(AC445:AC447)</f>
        <v>18193.189999999999</v>
      </c>
      <c r="K448" s="33"/>
      <c r="M448"/>
      <c r="N448"/>
      <c r="O448"/>
      <c r="P448"/>
      <c r="Q448"/>
    </row>
    <row r="449" spans="1:33" ht="14.25" x14ac:dyDescent="0.2">
      <c r="A449" s="31"/>
      <c r="B449" s="31"/>
      <c r="C449" s="31" t="s">
        <v>41</v>
      </c>
      <c r="D449" s="32" t="s">
        <v>39</v>
      </c>
      <c r="E449" s="4">
        <f>[1]Source!AU280</f>
        <v>10</v>
      </c>
      <c r="F449" s="33"/>
      <c r="G449" s="34"/>
      <c r="H449" s="4"/>
      <c r="I449" s="4"/>
      <c r="J449" s="33">
        <f>SUM(AE445:AE448)</f>
        <v>2599.0300000000002</v>
      </c>
      <c r="K449" s="33"/>
      <c r="M449"/>
      <c r="N449"/>
      <c r="O449"/>
      <c r="P449"/>
      <c r="Q449"/>
    </row>
    <row r="450" spans="1:33" ht="14.25" x14ac:dyDescent="0.2">
      <c r="A450" s="31"/>
      <c r="B450" s="31"/>
      <c r="C450" s="31" t="s">
        <v>42</v>
      </c>
      <c r="D450" s="32" t="s">
        <v>43</v>
      </c>
      <c r="E450" s="4">
        <f>[1]Source!AQ280</f>
        <v>0.65</v>
      </c>
      <c r="F450" s="33"/>
      <c r="G450" s="34" t="str">
        <f>[1]Source!DI280</f>
        <v>)*4*168</v>
      </c>
      <c r="H450" s="4">
        <f>[1]Source!AV280</f>
        <v>1</v>
      </c>
      <c r="I450" s="4"/>
      <c r="J450" s="33"/>
      <c r="K450" s="33">
        <f>[1]Source!U280</f>
        <v>104.83199999999999</v>
      </c>
      <c r="M450"/>
      <c r="N450"/>
      <c r="O450"/>
      <c r="P450"/>
      <c r="Q450"/>
    </row>
    <row r="451" spans="1:33" ht="15" x14ac:dyDescent="0.25">
      <c r="A451" s="35"/>
      <c r="B451" s="35"/>
      <c r="C451" s="35"/>
      <c r="D451" s="35"/>
      <c r="E451" s="35"/>
      <c r="F451" s="35"/>
      <c r="G451" s="35"/>
      <c r="H451" s="35"/>
      <c r="I451" s="36">
        <f>J447+J448+J449</f>
        <v>46782.49</v>
      </c>
      <c r="J451" s="36"/>
      <c r="K451" s="37">
        <f>IF([1]Source!I280&lt;&gt;0, ROUND(I451/[1]Source!I280, 2), 0)</f>
        <v>194927.04</v>
      </c>
      <c r="M451"/>
      <c r="N451"/>
      <c r="O451"/>
      <c r="P451"/>
      <c r="Q451"/>
      <c r="AA451" s="38">
        <f>I451</f>
        <v>46782.49</v>
      </c>
    </row>
    <row r="452" spans="1:33" ht="57" x14ac:dyDescent="0.2">
      <c r="A452" s="31">
        <v>66</v>
      </c>
      <c r="B452" s="31" t="str">
        <f>[1]Source!F281</f>
        <v>5.3-1102-8-2/1</v>
      </c>
      <c r="C452" s="31" t="str">
        <f>[1]Source!G281</f>
        <v>Уборка свежевыпавшего снега вручную, добавлять на каждые следующие 10 см увеличения толщины слоя</v>
      </c>
      <c r="D452" s="32" t="str">
        <f>[1]Source!H281</f>
        <v>100 м2</v>
      </c>
      <c r="E452" s="4">
        <f>[1]Source!I281</f>
        <v>0.24</v>
      </c>
      <c r="F452" s="33"/>
      <c r="G452" s="34"/>
      <c r="H452" s="4"/>
      <c r="I452" s="4"/>
      <c r="J452" s="33"/>
      <c r="K452" s="33"/>
      <c r="M452"/>
      <c r="N452"/>
      <c r="O452"/>
      <c r="P452"/>
      <c r="Q452"/>
      <c r="AB452">
        <f>ROUND(([1]Source!BZ281/100)*ROUND(([1]Source!AF281*[1]Source!AV281)*[1]Source!I281, 2), 2)</f>
        <v>13155.77</v>
      </c>
      <c r="AC452">
        <f>[1]Source!X281</f>
        <v>13155.77</v>
      </c>
      <c r="AD452">
        <f>ROUND(([1]Source!CA281/100)*ROUND(([1]Source!AF281*[1]Source!AV281)*[1]Source!I281, 2), 2)</f>
        <v>1879.4</v>
      </c>
      <c r="AE452">
        <f>[1]Source!Y281</f>
        <v>1879.4</v>
      </c>
      <c r="AF452">
        <f>ROUND((175/100)*ROUND(([1]Source!AE281*[1]Source!AV281)*[1]Source!I281, 2), 2)</f>
        <v>0</v>
      </c>
      <c r="AG452">
        <f>ROUND((108/100)*ROUND([1]Source!CS281*[1]Source!I281, 2), 2)</f>
        <v>0</v>
      </c>
    </row>
    <row r="453" spans="1:33" x14ac:dyDescent="0.2">
      <c r="C453" s="40" t="str">
        <f>"Объем: "&amp;[1]Source!I281&amp;"=24/"&amp;"100"</f>
        <v>Объем: 0,24=24/100</v>
      </c>
      <c r="M453"/>
      <c r="N453"/>
      <c r="O453"/>
      <c r="P453"/>
      <c r="Q453"/>
    </row>
    <row r="454" spans="1:33" ht="14.25" x14ac:dyDescent="0.2">
      <c r="A454" s="31"/>
      <c r="B454" s="31"/>
      <c r="C454" s="31" t="s">
        <v>34</v>
      </c>
      <c r="D454" s="32"/>
      <c r="E454" s="4"/>
      <c r="F454" s="33">
        <f>[1]Source!AO281</f>
        <v>116.53</v>
      </c>
      <c r="G454" s="34" t="str">
        <f>[1]Source!DG281</f>
        <v>)*4*168</v>
      </c>
      <c r="H454" s="4">
        <f>[1]Source!AV281</f>
        <v>1</v>
      </c>
      <c r="I454" s="4">
        <f>IF([1]Source!BA281&lt;&gt; 0, [1]Source!BA281, 1)</f>
        <v>1</v>
      </c>
      <c r="J454" s="33">
        <f>[1]Source!S281</f>
        <v>18793.96</v>
      </c>
      <c r="K454" s="33"/>
      <c r="M454"/>
      <c r="N454"/>
      <c r="O454"/>
      <c r="P454"/>
      <c r="Q454"/>
    </row>
    <row r="455" spans="1:33" ht="14.25" x14ac:dyDescent="0.2">
      <c r="A455" s="31"/>
      <c r="B455" s="31"/>
      <c r="C455" s="31" t="s">
        <v>40</v>
      </c>
      <c r="D455" s="32" t="s">
        <v>39</v>
      </c>
      <c r="E455" s="4">
        <f>[1]Source!AT281</f>
        <v>70</v>
      </c>
      <c r="F455" s="33"/>
      <c r="G455" s="34"/>
      <c r="H455" s="4"/>
      <c r="I455" s="4"/>
      <c r="J455" s="33">
        <f>SUM(AC452:AC454)</f>
        <v>13155.77</v>
      </c>
      <c r="K455" s="33"/>
      <c r="M455"/>
      <c r="N455"/>
      <c r="O455"/>
      <c r="P455"/>
      <c r="Q455"/>
    </row>
    <row r="456" spans="1:33" ht="14.25" x14ac:dyDescent="0.2">
      <c r="A456" s="31"/>
      <c r="B456" s="31"/>
      <c r="C456" s="31" t="s">
        <v>41</v>
      </c>
      <c r="D456" s="32" t="s">
        <v>39</v>
      </c>
      <c r="E456" s="4">
        <f>[1]Source!AU281</f>
        <v>10</v>
      </c>
      <c r="F456" s="33"/>
      <c r="G456" s="34"/>
      <c r="H456" s="4"/>
      <c r="I456" s="4"/>
      <c r="J456" s="33">
        <f>SUM(AE452:AE455)</f>
        <v>1879.4</v>
      </c>
      <c r="K456" s="33"/>
      <c r="M456"/>
      <c r="N456"/>
      <c r="O456"/>
      <c r="P456"/>
      <c r="Q456"/>
    </row>
    <row r="457" spans="1:33" ht="14.25" x14ac:dyDescent="0.2">
      <c r="A457" s="31"/>
      <c r="B457" s="31"/>
      <c r="C457" s="31" t="s">
        <v>42</v>
      </c>
      <c r="D457" s="32" t="s">
        <v>43</v>
      </c>
      <c r="E457" s="4">
        <f>[1]Source!AQ281</f>
        <v>0.47</v>
      </c>
      <c r="F457" s="33"/>
      <c r="G457" s="34" t="str">
        <f>[1]Source!DI281</f>
        <v>)*4*168</v>
      </c>
      <c r="H457" s="4">
        <f>[1]Source!AV281</f>
        <v>1</v>
      </c>
      <c r="I457" s="4"/>
      <c r="J457" s="33"/>
      <c r="K457" s="33">
        <f>[1]Source!U281</f>
        <v>75.801599999999993</v>
      </c>
      <c r="M457"/>
      <c r="N457"/>
      <c r="O457"/>
      <c r="P457"/>
      <c r="Q457"/>
    </row>
    <row r="458" spans="1:33" ht="15" x14ac:dyDescent="0.25">
      <c r="A458" s="35"/>
      <c r="B458" s="35"/>
      <c r="C458" s="35"/>
      <c r="D458" s="35"/>
      <c r="E458" s="35"/>
      <c r="F458" s="35"/>
      <c r="G458" s="35"/>
      <c r="H458" s="35"/>
      <c r="I458" s="36">
        <f>J454+J455+J456</f>
        <v>33829.129999999997</v>
      </c>
      <c r="J458" s="36"/>
      <c r="K458" s="37">
        <f>IF([1]Source!I281&lt;&gt;0, ROUND(I458/[1]Source!I281, 2), 0)</f>
        <v>140954.71</v>
      </c>
      <c r="M458"/>
      <c r="N458"/>
      <c r="O458"/>
      <c r="P458"/>
      <c r="Q458"/>
      <c r="AA458" s="38">
        <f>I458</f>
        <v>33829.129999999997</v>
      </c>
    </row>
    <row r="459" spans="1:33" ht="42.75" x14ac:dyDescent="0.2">
      <c r="A459" s="31">
        <v>67</v>
      </c>
      <c r="B459" s="31" t="str">
        <f>[1]Source!F282</f>
        <v>5.3-1102-24-1/1</v>
      </c>
      <c r="C459" s="31" t="str">
        <f>[1]Source!G282</f>
        <v>Уборка свежевыпавшего снега ручной самоходной машиной - ширина захвата 120 см ( S= 200 м2*0,2=40 м2 )</v>
      </c>
      <c r="D459" s="32" t="str">
        <f>[1]Source!H282</f>
        <v>100 м2</v>
      </c>
      <c r="E459" s="4">
        <f>[1]Source!I282</f>
        <v>0.4</v>
      </c>
      <c r="F459" s="33"/>
      <c r="G459" s="34"/>
      <c r="H459" s="4"/>
      <c r="I459" s="4"/>
      <c r="J459" s="33"/>
      <c r="K459" s="33"/>
      <c r="M459"/>
      <c r="N459"/>
      <c r="O459"/>
      <c r="P459"/>
      <c r="Q459"/>
      <c r="AB459">
        <f>ROUND(([1]Source!BZ282/100)*ROUND(([1]Source!AF282*[1]Source!AV282)*[1]Source!I282, 2), 2)</f>
        <v>18262.810000000001</v>
      </c>
      <c r="AC459">
        <f>[1]Source!X282</f>
        <v>18262.810000000001</v>
      </c>
      <c r="AD459">
        <f>ROUND(([1]Source!CA282/100)*ROUND(([1]Source!AF282*[1]Source!AV282)*[1]Source!I282, 2), 2)</f>
        <v>2608.9699999999998</v>
      </c>
      <c r="AE459">
        <f>[1]Source!Y282</f>
        <v>2608.9699999999998</v>
      </c>
      <c r="AF459">
        <f>ROUND((175/100)*ROUND(([1]Source!AE282*[1]Source!AV282)*[1]Source!I282, 2), 2)</f>
        <v>42.33</v>
      </c>
      <c r="AG459">
        <f>ROUND((108/100)*ROUND([1]Source!CS282*[1]Source!I282, 2), 2)</f>
        <v>26.13</v>
      </c>
    </row>
    <row r="460" spans="1:33" x14ac:dyDescent="0.2">
      <c r="C460" s="40" t="str">
        <f>"Объем: "&amp;[1]Source!I282&amp;"=40/"&amp;"100"</f>
        <v>Объем: 0,4=40/100</v>
      </c>
      <c r="M460"/>
      <c r="N460"/>
      <c r="O460"/>
      <c r="P460"/>
      <c r="Q460"/>
    </row>
    <row r="461" spans="1:33" ht="14.25" x14ac:dyDescent="0.2">
      <c r="A461" s="31"/>
      <c r="B461" s="31"/>
      <c r="C461" s="31" t="s">
        <v>34</v>
      </c>
      <c r="D461" s="32"/>
      <c r="E461" s="4"/>
      <c r="F461" s="33">
        <f>[1]Source!AO282</f>
        <v>97.06</v>
      </c>
      <c r="G461" s="34" t="str">
        <f>[1]Source!DG282</f>
        <v>)*4*168</v>
      </c>
      <c r="H461" s="4">
        <f>[1]Source!AV282</f>
        <v>1</v>
      </c>
      <c r="I461" s="4">
        <f>IF([1]Source!BA282&lt;&gt; 0, [1]Source!BA282, 1)</f>
        <v>1</v>
      </c>
      <c r="J461" s="33">
        <f>[1]Source!S282</f>
        <v>26089.73</v>
      </c>
      <c r="K461" s="33"/>
      <c r="M461"/>
      <c r="N461"/>
      <c r="O461"/>
      <c r="P461"/>
      <c r="Q461"/>
    </row>
    <row r="462" spans="1:33" ht="14.25" x14ac:dyDescent="0.2">
      <c r="A462" s="31"/>
      <c r="B462" s="31"/>
      <c r="C462" s="31" t="s">
        <v>33</v>
      </c>
      <c r="D462" s="32"/>
      <c r="E462" s="4"/>
      <c r="F462" s="33">
        <f>[1]Source!AM282</f>
        <v>33.97</v>
      </c>
      <c r="G462" s="34" t="str">
        <f>[1]Source!DE282</f>
        <v>)*4*168</v>
      </c>
      <c r="H462" s="4">
        <f>[1]Source!AV282</f>
        <v>1</v>
      </c>
      <c r="I462" s="4">
        <f>IF([1]Source!BB282&lt;&gt; 0, [1]Source!BB282, 1)</f>
        <v>1</v>
      </c>
      <c r="J462" s="33">
        <f>[1]Source!Q282</f>
        <v>9131.14</v>
      </c>
      <c r="K462" s="33"/>
      <c r="M462"/>
      <c r="N462"/>
      <c r="O462"/>
      <c r="P462"/>
      <c r="Q462"/>
    </row>
    <row r="463" spans="1:33" ht="14.25" x14ac:dyDescent="0.2">
      <c r="A463" s="31"/>
      <c r="B463" s="31"/>
      <c r="C463" s="31" t="s">
        <v>37</v>
      </c>
      <c r="D463" s="32"/>
      <c r="E463" s="4"/>
      <c r="F463" s="33">
        <f>[1]Source!AN282</f>
        <v>0.09</v>
      </c>
      <c r="G463" s="34" t="str">
        <f>[1]Source!DF282</f>
        <v>)*4*168</v>
      </c>
      <c r="H463" s="4">
        <f>[1]Source!AV282</f>
        <v>1</v>
      </c>
      <c r="I463" s="4">
        <f>IF([1]Source!BS282&lt;&gt; 0, [1]Source!BS282, 1)</f>
        <v>1</v>
      </c>
      <c r="J463" s="41">
        <f>[1]Source!R282</f>
        <v>24.19</v>
      </c>
      <c r="K463" s="33"/>
      <c r="M463"/>
      <c r="N463"/>
      <c r="O463"/>
      <c r="P463"/>
      <c r="Q463"/>
    </row>
    <row r="464" spans="1:33" ht="14.25" x14ac:dyDescent="0.2">
      <c r="A464" s="31"/>
      <c r="B464" s="31"/>
      <c r="C464" s="31" t="s">
        <v>40</v>
      </c>
      <c r="D464" s="32" t="s">
        <v>39</v>
      </c>
      <c r="E464" s="4">
        <f>[1]Source!AT282</f>
        <v>70</v>
      </c>
      <c r="F464" s="33"/>
      <c r="G464" s="34"/>
      <c r="H464" s="4"/>
      <c r="I464" s="4"/>
      <c r="J464" s="33">
        <f>SUM(AC459:AC463)</f>
        <v>18262.810000000001</v>
      </c>
      <c r="K464" s="33"/>
      <c r="M464"/>
      <c r="N464"/>
      <c r="O464"/>
      <c r="P464"/>
      <c r="Q464"/>
    </row>
    <row r="465" spans="1:33" ht="14.25" x14ac:dyDescent="0.2">
      <c r="A465" s="31"/>
      <c r="B465" s="31"/>
      <c r="C465" s="31" t="s">
        <v>41</v>
      </c>
      <c r="D465" s="32" t="s">
        <v>39</v>
      </c>
      <c r="E465" s="4">
        <f>[1]Source!AU282</f>
        <v>10</v>
      </c>
      <c r="F465" s="33"/>
      <c r="G465" s="34"/>
      <c r="H465" s="4"/>
      <c r="I465" s="4"/>
      <c r="J465" s="33">
        <f>SUM(AE459:AE464)</f>
        <v>2608.9699999999998</v>
      </c>
      <c r="K465" s="33"/>
      <c r="M465"/>
      <c r="N465"/>
      <c r="O465"/>
      <c r="P465"/>
      <c r="Q465"/>
    </row>
    <row r="466" spans="1:33" ht="14.25" x14ac:dyDescent="0.2">
      <c r="A466" s="31"/>
      <c r="B466" s="31"/>
      <c r="C466" s="31" t="s">
        <v>38</v>
      </c>
      <c r="D466" s="32" t="s">
        <v>39</v>
      </c>
      <c r="E466" s="4">
        <f>108</f>
        <v>108</v>
      </c>
      <c r="F466" s="33"/>
      <c r="G466" s="34"/>
      <c r="H466" s="4"/>
      <c r="I466" s="4"/>
      <c r="J466" s="33">
        <f>SUM(AG459:AG465)</f>
        <v>26.13</v>
      </c>
      <c r="K466" s="33"/>
      <c r="M466"/>
      <c r="N466"/>
      <c r="O466"/>
      <c r="P466"/>
      <c r="Q466"/>
    </row>
    <row r="467" spans="1:33" ht="14.25" x14ac:dyDescent="0.2">
      <c r="A467" s="31"/>
      <c r="B467" s="31"/>
      <c r="C467" s="31" t="s">
        <v>42</v>
      </c>
      <c r="D467" s="32" t="s">
        <v>43</v>
      </c>
      <c r="E467" s="4">
        <f>[1]Source!AQ282</f>
        <v>0.35</v>
      </c>
      <c r="F467" s="33"/>
      <c r="G467" s="34" t="str">
        <f>[1]Source!DI282</f>
        <v>)*4*168</v>
      </c>
      <c r="H467" s="4">
        <f>[1]Source!AV282</f>
        <v>1</v>
      </c>
      <c r="I467" s="4"/>
      <c r="J467" s="33"/>
      <c r="K467" s="33">
        <f>[1]Source!U282</f>
        <v>94.08</v>
      </c>
      <c r="M467"/>
      <c r="N467"/>
      <c r="O467"/>
      <c r="P467"/>
      <c r="Q467"/>
    </row>
    <row r="468" spans="1:33" ht="15" x14ac:dyDescent="0.25">
      <c r="A468" s="35"/>
      <c r="B468" s="35"/>
      <c r="C468" s="35"/>
      <c r="D468" s="35"/>
      <c r="E468" s="35"/>
      <c r="F468" s="35"/>
      <c r="G468" s="35"/>
      <c r="H468" s="35"/>
      <c r="I468" s="36">
        <f>J461+J462+J464+J465+J466</f>
        <v>56118.779999999992</v>
      </c>
      <c r="J468" s="36"/>
      <c r="K468" s="37">
        <f>IF([1]Source!I282&lt;&gt;0, ROUND(I468/[1]Source!I282, 2), 0)</f>
        <v>140296.95000000001</v>
      </c>
      <c r="M468"/>
      <c r="N468"/>
      <c r="O468"/>
      <c r="P468"/>
      <c r="Q468"/>
      <c r="AA468" s="38">
        <f>I468</f>
        <v>56118.779999999992</v>
      </c>
    </row>
    <row r="469" spans="1:33" ht="42.75" x14ac:dyDescent="0.2">
      <c r="A469" s="31">
        <v>68</v>
      </c>
      <c r="B469" s="31" t="str">
        <f>[1]Source!F283</f>
        <v>5.3-1102-9-1/1</v>
      </c>
      <c r="C469" s="31" t="str">
        <f>[1]Source!G283</f>
        <v>Колка льда на обледеневших покрытиях вручную ( S=200 м2*0,8*0,3*0,5=24 м2)</v>
      </c>
      <c r="D469" s="32" t="str">
        <f>[1]Source!H283</f>
        <v>100 м2</v>
      </c>
      <c r="E469" s="4">
        <f>[1]Source!I283</f>
        <v>0.24</v>
      </c>
      <c r="F469" s="33"/>
      <c r="G469" s="34"/>
      <c r="H469" s="4"/>
      <c r="I469" s="4"/>
      <c r="J469" s="33"/>
      <c r="K469" s="33"/>
      <c r="M469"/>
      <c r="N469"/>
      <c r="O469"/>
      <c r="P469"/>
      <c r="Q469"/>
      <c r="AB469">
        <f>ROUND(([1]Source!BZ283/100)*ROUND(([1]Source!AF283*[1]Source!AV283)*[1]Source!I283, 2), 2)</f>
        <v>33728.25</v>
      </c>
      <c r="AC469">
        <f>[1]Source!X283</f>
        <v>33728.25</v>
      </c>
      <c r="AD469">
        <f>ROUND(([1]Source!CA283/100)*ROUND(([1]Source!AF283*[1]Source!AV283)*[1]Source!I283, 2), 2)</f>
        <v>4818.32</v>
      </c>
      <c r="AE469">
        <f>[1]Source!Y283</f>
        <v>4818.32</v>
      </c>
      <c r="AF469">
        <f>ROUND((175/100)*ROUND(([1]Source!AE283*[1]Source!AV283)*[1]Source!I283, 2), 2)</f>
        <v>0</v>
      </c>
      <c r="AG469">
        <f>ROUND((108/100)*ROUND([1]Source!CS283*[1]Source!I283, 2), 2)</f>
        <v>0</v>
      </c>
    </row>
    <row r="470" spans="1:33" x14ac:dyDescent="0.2">
      <c r="C470" s="40" t="str">
        <f>"Объем: "&amp;[1]Source!I283&amp;"=24/"&amp;"100"</f>
        <v>Объем: 0,24=24/100</v>
      </c>
      <c r="M470"/>
      <c r="N470"/>
      <c r="O470"/>
      <c r="P470"/>
      <c r="Q470"/>
    </row>
    <row r="471" spans="1:33" ht="14.25" x14ac:dyDescent="0.2">
      <c r="A471" s="31"/>
      <c r="B471" s="31"/>
      <c r="C471" s="31" t="s">
        <v>34</v>
      </c>
      <c r="D471" s="32"/>
      <c r="E471" s="4"/>
      <c r="F471" s="33">
        <f>[1]Source!AO283</f>
        <v>597.51</v>
      </c>
      <c r="G471" s="34" t="str">
        <f>[1]Source!DG283</f>
        <v>)*2*168</v>
      </c>
      <c r="H471" s="4">
        <f>[1]Source!AV283</f>
        <v>1</v>
      </c>
      <c r="I471" s="4">
        <f>IF([1]Source!BA283&lt;&gt; 0, [1]Source!BA283, 1)</f>
        <v>1</v>
      </c>
      <c r="J471" s="33">
        <f>[1]Source!S283</f>
        <v>48183.21</v>
      </c>
      <c r="K471" s="33"/>
      <c r="M471"/>
      <c r="N471"/>
      <c r="O471"/>
      <c r="P471"/>
      <c r="Q471"/>
    </row>
    <row r="472" spans="1:33" ht="14.25" x14ac:dyDescent="0.2">
      <c r="A472" s="31"/>
      <c r="B472" s="31"/>
      <c r="C472" s="31" t="s">
        <v>40</v>
      </c>
      <c r="D472" s="32" t="s">
        <v>39</v>
      </c>
      <c r="E472" s="4">
        <f>[1]Source!AT283</f>
        <v>70</v>
      </c>
      <c r="F472" s="33"/>
      <c r="G472" s="34"/>
      <c r="H472" s="4"/>
      <c r="I472" s="4"/>
      <c r="J472" s="33">
        <f>SUM(AC469:AC471)</f>
        <v>33728.25</v>
      </c>
      <c r="K472" s="33"/>
      <c r="M472"/>
      <c r="N472"/>
      <c r="O472"/>
      <c r="P472"/>
      <c r="Q472"/>
    </row>
    <row r="473" spans="1:33" ht="14.25" x14ac:dyDescent="0.2">
      <c r="A473" s="31"/>
      <c r="B473" s="31"/>
      <c r="C473" s="31" t="s">
        <v>41</v>
      </c>
      <c r="D473" s="32" t="s">
        <v>39</v>
      </c>
      <c r="E473" s="4">
        <f>[1]Source!AU283</f>
        <v>10</v>
      </c>
      <c r="F473" s="33"/>
      <c r="G473" s="34"/>
      <c r="H473" s="4"/>
      <c r="I473" s="4"/>
      <c r="J473" s="33">
        <f>SUM(AE469:AE472)</f>
        <v>4818.32</v>
      </c>
      <c r="K473" s="33"/>
      <c r="M473"/>
      <c r="N473"/>
      <c r="O473"/>
      <c r="P473"/>
      <c r="Q473"/>
    </row>
    <row r="474" spans="1:33" ht="14.25" x14ac:dyDescent="0.2">
      <c r="A474" s="31"/>
      <c r="B474" s="31"/>
      <c r="C474" s="31" t="s">
        <v>42</v>
      </c>
      <c r="D474" s="32" t="s">
        <v>43</v>
      </c>
      <c r="E474" s="4">
        <f>[1]Source!AQ283</f>
        <v>2.41</v>
      </c>
      <c r="F474" s="33"/>
      <c r="G474" s="34" t="str">
        <f>[1]Source!DI283</f>
        <v>)*2*168</v>
      </c>
      <c r="H474" s="4">
        <f>[1]Source!AV283</f>
        <v>1</v>
      </c>
      <c r="I474" s="4"/>
      <c r="J474" s="33"/>
      <c r="K474" s="33">
        <f>[1]Source!U283</f>
        <v>194.3424</v>
      </c>
      <c r="M474"/>
      <c r="N474"/>
      <c r="O474"/>
      <c r="P474"/>
      <c r="Q474"/>
    </row>
    <row r="475" spans="1:33" ht="15" x14ac:dyDescent="0.25">
      <c r="A475" s="35"/>
      <c r="B475" s="35"/>
      <c r="C475" s="35"/>
      <c r="D475" s="35"/>
      <c r="E475" s="35"/>
      <c r="F475" s="35"/>
      <c r="G475" s="35"/>
      <c r="H475" s="35"/>
      <c r="I475" s="36">
        <f>J471+J472+J473</f>
        <v>86729.78</v>
      </c>
      <c r="J475" s="36"/>
      <c r="K475" s="37">
        <f>IF([1]Source!I283&lt;&gt;0, ROUND(I475/[1]Source!I283, 2), 0)</f>
        <v>361374.08</v>
      </c>
      <c r="M475"/>
      <c r="N475"/>
      <c r="O475"/>
      <c r="P475"/>
      <c r="Q475"/>
      <c r="AA475" s="38">
        <f>I475</f>
        <v>86729.78</v>
      </c>
    </row>
    <row r="476" spans="1:33" ht="28.5" x14ac:dyDescent="0.2">
      <c r="A476" s="31">
        <v>69</v>
      </c>
      <c r="B476" s="31" t="str">
        <f>[1]Source!F284</f>
        <v>калькуляция</v>
      </c>
      <c r="C476" s="31" t="str">
        <f>[1]Source!G284</f>
        <v>Посыпка гранитной крошкой  дорожных покрытий вручную( 100г/м2 )</v>
      </c>
      <c r="D476" s="32" t="str">
        <f>[1]Source!H284</f>
        <v>м2</v>
      </c>
      <c r="E476" s="4">
        <f>[1]Source!I284</f>
        <v>200</v>
      </c>
      <c r="F476" s="33"/>
      <c r="G476" s="34"/>
      <c r="H476" s="4"/>
      <c r="I476" s="4"/>
      <c r="J476" s="33"/>
      <c r="K476" s="33"/>
      <c r="M476"/>
      <c r="N476"/>
      <c r="O476"/>
      <c r="P476"/>
      <c r="Q476"/>
      <c r="AB476">
        <f>ROUND(([1]Source!BZ284/100)*ROUND(([1]Source!AF284*[1]Source!AV284)*[1]Source!I284, 2), 2)</f>
        <v>0</v>
      </c>
      <c r="AC476">
        <f>[1]Source!X284</f>
        <v>0</v>
      </c>
      <c r="AD476">
        <f>ROUND(([1]Source!CA284/100)*ROUND(([1]Source!AF284*[1]Source!AV284)*[1]Source!I284, 2), 2)</f>
        <v>0</v>
      </c>
      <c r="AE476">
        <f>[1]Source!Y284</f>
        <v>0</v>
      </c>
      <c r="AF476">
        <f>ROUND((175/100)*ROUND(([1]Source!AE284*[1]Source!AV284)*[1]Source!I284, 2), 2)</f>
        <v>0</v>
      </c>
      <c r="AG476">
        <f>ROUND((108/100)*ROUND([1]Source!CS284*[1]Source!I284, 2), 2)</f>
        <v>0</v>
      </c>
    </row>
    <row r="477" spans="1:33" ht="14.25" x14ac:dyDescent="0.2">
      <c r="A477" s="31"/>
      <c r="B477" s="31"/>
      <c r="C477" s="31" t="s">
        <v>34</v>
      </c>
      <c r="D477" s="32"/>
      <c r="E477" s="4"/>
      <c r="F477" s="33">
        <f>[1]Source!AO284</f>
        <v>2.08</v>
      </c>
      <c r="G477" s="34" t="str">
        <f>[1]Source!DG284</f>
        <v>)*4*168</v>
      </c>
      <c r="H477" s="4">
        <f>[1]Source!AV284</f>
        <v>1</v>
      </c>
      <c r="I477" s="4">
        <f>IF([1]Source!BA284&lt;&gt; 0, [1]Source!BA284, 1)</f>
        <v>1</v>
      </c>
      <c r="J477" s="33">
        <f>[1]Source!S284</f>
        <v>279552</v>
      </c>
      <c r="K477" s="33"/>
      <c r="M477"/>
      <c r="N477"/>
      <c r="O477"/>
      <c r="P477"/>
      <c r="Q477"/>
    </row>
    <row r="478" spans="1:33" ht="14.25" x14ac:dyDescent="0.2">
      <c r="A478" s="31" t="s">
        <v>59</v>
      </c>
      <c r="B478" s="31" t="str">
        <f>[1]Source!F285</f>
        <v>цена поставщика</v>
      </c>
      <c r="C478" s="31" t="str">
        <f>[1]Source!G285</f>
        <v>Крошка гранитная</v>
      </c>
      <c r="D478" s="32" t="str">
        <f>[1]Source!H285</f>
        <v>кг</v>
      </c>
      <c r="E478" s="4">
        <f>[1]Source!I285</f>
        <v>13440</v>
      </c>
      <c r="F478" s="33">
        <f>[1]Source!AK285</f>
        <v>4.43</v>
      </c>
      <c r="G478" s="39" t="s">
        <v>45</v>
      </c>
      <c r="H478" s="4">
        <f>[1]Source!AW285</f>
        <v>1</v>
      </c>
      <c r="I478" s="4">
        <f>IF([1]Source!BC285&lt;&gt; 0, [1]Source!BC285, 1)</f>
        <v>1</v>
      </c>
      <c r="J478" s="33">
        <f>[1]Source!O285</f>
        <v>59539.199999999997</v>
      </c>
      <c r="K478" s="33"/>
      <c r="M478"/>
      <c r="N478"/>
      <c r="O478"/>
      <c r="P478"/>
      <c r="Q478"/>
      <c r="AB478">
        <f>ROUND(([1]Source!BZ285/100)*ROUND(([1]Source!AF285*[1]Source!AV285)*[1]Source!I285, 2), 2)</f>
        <v>0</v>
      </c>
      <c r="AC478">
        <f>[1]Source!X285</f>
        <v>0</v>
      </c>
      <c r="AD478">
        <f>ROUND(([1]Source!CA285/100)*ROUND(([1]Source!AF285*[1]Source!AV285)*[1]Source!I285, 2), 2)</f>
        <v>0</v>
      </c>
      <c r="AE478">
        <f>[1]Source!Y285</f>
        <v>0</v>
      </c>
      <c r="AF478">
        <f>ROUND((175/100)*ROUND(([1]Source!AE285*[1]Source!AV285)*[1]Source!I285, 2), 2)</f>
        <v>0</v>
      </c>
      <c r="AG478">
        <f>ROUND((108/100)*ROUND([1]Source!CS285*[1]Source!I285, 2), 2)</f>
        <v>0</v>
      </c>
    </row>
    <row r="479" spans="1:33" ht="15" x14ac:dyDescent="0.25">
      <c r="A479" s="35"/>
      <c r="B479" s="35"/>
      <c r="C479" s="35"/>
      <c r="D479" s="35"/>
      <c r="E479" s="35"/>
      <c r="F479" s="35"/>
      <c r="G479" s="35"/>
      <c r="H479" s="35"/>
      <c r="I479" s="36">
        <f>J477+SUM(J478:J478)</f>
        <v>339091.20000000001</v>
      </c>
      <c r="J479" s="36"/>
      <c r="K479" s="37">
        <f>IF([1]Source!I284&lt;&gt;0, ROUND(I479/[1]Source!I284, 2), 0)</f>
        <v>1695.46</v>
      </c>
      <c r="M479"/>
      <c r="N479"/>
      <c r="O479"/>
      <c r="P479"/>
      <c r="Q479"/>
      <c r="AA479" s="38">
        <f>I479</f>
        <v>339091.20000000001</v>
      </c>
    </row>
    <row r="480" spans="1:33" ht="28.5" x14ac:dyDescent="0.2">
      <c r="A480" s="31">
        <v>70</v>
      </c>
      <c r="B480" s="31" t="str">
        <f>[1]Source!F286</f>
        <v>5.4-1201-1-1/1</v>
      </c>
      <c r="C480" s="31" t="str">
        <f>[1]Source!G286</f>
        <v>Сбор случайного мусора по территории</v>
      </c>
      <c r="D480" s="32" t="str">
        <f>[1]Source!H286</f>
        <v>100 м2</v>
      </c>
      <c r="E480" s="4">
        <f>[1]Source!I286</f>
        <v>2</v>
      </c>
      <c r="F480" s="33"/>
      <c r="G480" s="34"/>
      <c r="H480" s="4"/>
      <c r="I480" s="4"/>
      <c r="J480" s="33"/>
      <c r="K480" s="33"/>
      <c r="M480"/>
      <c r="N480"/>
      <c r="O480"/>
      <c r="P480"/>
      <c r="Q480"/>
      <c r="AB480">
        <f>ROUND(([1]Source!BZ286/100)*ROUND(([1]Source!AF286*[1]Source!AV286)*[1]Source!I286, 2), 2)</f>
        <v>23054.080000000002</v>
      </c>
      <c r="AC480">
        <f>[1]Source!X286</f>
        <v>23054.080000000002</v>
      </c>
      <c r="AD480">
        <f>ROUND(([1]Source!CA286/100)*ROUND(([1]Source!AF286*[1]Source!AV286)*[1]Source!I286, 2), 2)</f>
        <v>3293.44</v>
      </c>
      <c r="AE480">
        <f>[1]Source!Y286</f>
        <v>3293.44</v>
      </c>
      <c r="AF480">
        <f>ROUND((175/100)*ROUND(([1]Source!AE286*[1]Source!AV286)*[1]Source!I286, 2), 2)</f>
        <v>0</v>
      </c>
      <c r="AG480">
        <f>ROUND((108/100)*ROUND([1]Source!CS286*[1]Source!I286, 2), 2)</f>
        <v>0</v>
      </c>
    </row>
    <row r="481" spans="1:43" x14ac:dyDescent="0.2">
      <c r="C481" s="40" t="str">
        <f>"Объем: "&amp;[1]Source!I286&amp;"=200/"&amp;"100"</f>
        <v>Объем: 2=200/100</v>
      </c>
      <c r="M481"/>
      <c r="N481"/>
      <c r="O481"/>
      <c r="P481"/>
      <c r="Q481"/>
    </row>
    <row r="482" spans="1:43" ht="14.25" x14ac:dyDescent="0.2">
      <c r="A482" s="31"/>
      <c r="B482" s="31"/>
      <c r="C482" s="31" t="s">
        <v>34</v>
      </c>
      <c r="D482" s="32"/>
      <c r="E482" s="4"/>
      <c r="F482" s="33">
        <f>[1]Source!AO286</f>
        <v>12.4</v>
      </c>
      <c r="G482" s="34" t="str">
        <f>[1]Source!DG286</f>
        <v>)*4*332</v>
      </c>
      <c r="H482" s="4">
        <f>[1]Source!AV286</f>
        <v>1</v>
      </c>
      <c r="I482" s="4">
        <f>IF([1]Source!BA286&lt;&gt; 0, [1]Source!BA286, 1)</f>
        <v>1</v>
      </c>
      <c r="J482" s="33">
        <f>[1]Source!S286</f>
        <v>32934.400000000001</v>
      </c>
      <c r="K482" s="33"/>
      <c r="M482"/>
      <c r="N482"/>
      <c r="O482"/>
      <c r="P482"/>
      <c r="Q482"/>
    </row>
    <row r="483" spans="1:43" ht="14.25" x14ac:dyDescent="0.2">
      <c r="A483" s="31"/>
      <c r="B483" s="31"/>
      <c r="C483" s="31" t="s">
        <v>47</v>
      </c>
      <c r="D483" s="32"/>
      <c r="E483" s="4"/>
      <c r="F483" s="33">
        <f>[1]Source!AL286</f>
        <v>0.69</v>
      </c>
      <c r="G483" s="34" t="str">
        <f>[1]Source!DD286</f>
        <v>)*4*332</v>
      </c>
      <c r="H483" s="4">
        <f>[1]Source!AW286</f>
        <v>1</v>
      </c>
      <c r="I483" s="4">
        <f>IF([1]Source!BC286&lt;&gt; 0, [1]Source!BC286, 1)</f>
        <v>1</v>
      </c>
      <c r="J483" s="33">
        <f>[1]Source!P286</f>
        <v>1832.64</v>
      </c>
      <c r="K483" s="33"/>
      <c r="M483"/>
      <c r="N483"/>
      <c r="O483"/>
      <c r="P483"/>
      <c r="Q483"/>
    </row>
    <row r="484" spans="1:43" ht="14.25" x14ac:dyDescent="0.2">
      <c r="A484" s="31"/>
      <c r="B484" s="31"/>
      <c r="C484" s="31" t="s">
        <v>40</v>
      </c>
      <c r="D484" s="32" t="s">
        <v>39</v>
      </c>
      <c r="E484" s="4">
        <f>[1]Source!AT286</f>
        <v>70</v>
      </c>
      <c r="F484" s="33"/>
      <c r="G484" s="34"/>
      <c r="H484" s="4"/>
      <c r="I484" s="4"/>
      <c r="J484" s="33">
        <f>SUM(AC480:AC483)</f>
        <v>23054.080000000002</v>
      </c>
      <c r="K484" s="33"/>
      <c r="M484"/>
      <c r="N484"/>
      <c r="O484"/>
      <c r="P484"/>
      <c r="Q484"/>
    </row>
    <row r="485" spans="1:43" ht="14.25" x14ac:dyDescent="0.2">
      <c r="A485" s="31"/>
      <c r="B485" s="31"/>
      <c r="C485" s="31" t="s">
        <v>41</v>
      </c>
      <c r="D485" s="32" t="s">
        <v>39</v>
      </c>
      <c r="E485" s="4">
        <f>[1]Source!AU286</f>
        <v>10</v>
      </c>
      <c r="F485" s="33"/>
      <c r="G485" s="34"/>
      <c r="H485" s="4"/>
      <c r="I485" s="4"/>
      <c r="J485" s="33">
        <f>SUM(AE480:AE484)</f>
        <v>3293.44</v>
      </c>
      <c r="K485" s="33"/>
      <c r="M485"/>
      <c r="N485"/>
      <c r="O485"/>
      <c r="P485"/>
      <c r="Q485"/>
    </row>
    <row r="486" spans="1:43" ht="14.25" x14ac:dyDescent="0.2">
      <c r="A486" s="31"/>
      <c r="B486" s="31"/>
      <c r="C486" s="31" t="s">
        <v>42</v>
      </c>
      <c r="D486" s="32" t="s">
        <v>43</v>
      </c>
      <c r="E486" s="4">
        <f>[1]Source!AQ286</f>
        <v>0.05</v>
      </c>
      <c r="F486" s="33"/>
      <c r="G486" s="34" t="str">
        <f>[1]Source!DI286</f>
        <v>)*4*332</v>
      </c>
      <c r="H486" s="4">
        <f>[1]Source!AV286</f>
        <v>1</v>
      </c>
      <c r="I486" s="4"/>
      <c r="J486" s="33"/>
      <c r="K486" s="33">
        <f>[1]Source!U286</f>
        <v>132.80000000000001</v>
      </c>
      <c r="M486"/>
      <c r="N486"/>
      <c r="O486"/>
      <c r="P486"/>
      <c r="Q486"/>
    </row>
    <row r="487" spans="1:43" ht="15" x14ac:dyDescent="0.25">
      <c r="A487" s="35"/>
      <c r="B487" s="35"/>
      <c r="C487" s="35"/>
      <c r="D487" s="35"/>
      <c r="E487" s="35"/>
      <c r="F487" s="35"/>
      <c r="G487" s="35"/>
      <c r="H487" s="35"/>
      <c r="I487" s="36">
        <f>J482+J483+J484+J485</f>
        <v>61114.560000000005</v>
      </c>
      <c r="J487" s="36"/>
      <c r="K487" s="37">
        <f>IF([1]Source!I286&lt;&gt;0, ROUND(I487/[1]Source!I286, 2), 0)</f>
        <v>30557.279999999999</v>
      </c>
      <c r="M487"/>
      <c r="N487"/>
      <c r="O487"/>
      <c r="P487"/>
      <c r="Q487"/>
      <c r="AA487" s="38">
        <f>I487</f>
        <v>61114.560000000005</v>
      </c>
    </row>
    <row r="488" spans="1:43" x14ac:dyDescent="0.2">
      <c r="M488"/>
      <c r="N488"/>
      <c r="O488"/>
      <c r="P488"/>
      <c r="Q488"/>
    </row>
    <row r="489" spans="1:43" ht="15" x14ac:dyDescent="0.25">
      <c r="A489" s="42" t="str">
        <f>CONCATENATE("Итого по разделу: ",IF([1]Source!G288&lt;&gt;"Новый раздел", [1]Source!G288, ""))</f>
        <v>Итого по разделу: Содержание дорожек с мощением 50% пешеходным ( S= 200 м2 ( МКЗ ).</v>
      </c>
      <c r="B489" s="42"/>
      <c r="C489" s="42"/>
      <c r="D489" s="42"/>
      <c r="E489" s="42"/>
      <c r="F489" s="42"/>
      <c r="G489" s="42"/>
      <c r="H489" s="42"/>
      <c r="I489" s="43">
        <f>SUM(AA427:AA488)</f>
        <v>970246.3600000001</v>
      </c>
      <c r="J489" s="44"/>
      <c r="K489" s="47"/>
      <c r="L489" s="38">
        <f>I489</f>
        <v>970246.3600000001</v>
      </c>
      <c r="M489" s="2">
        <f>ROUND(I489*$I$4874,2)</f>
        <v>700718.57</v>
      </c>
      <c r="N489" s="2">
        <f>ROUND(M489*1.2/105*100,2)</f>
        <v>800821.22</v>
      </c>
      <c r="O489" s="2">
        <f>ROUND(N489*0.05,2)</f>
        <v>40041.06</v>
      </c>
      <c r="P489" s="2">
        <f>N489+O489</f>
        <v>840862.28</v>
      </c>
      <c r="Q489" s="3">
        <v>18</v>
      </c>
      <c r="R489">
        <v>2</v>
      </c>
      <c r="S489" s="2">
        <v>154179.59</v>
      </c>
      <c r="AQ489" s="46" t="str">
        <f>CONCATENATE("Итого по разделу: ",IF([1]Source!G288&lt;&gt;"Новый раздел", [1]Source!G288, ""))</f>
        <v>Итого по разделу: Содержание дорожек с мощением 50% пешеходным ( S= 200 м2 ( МКЗ ).</v>
      </c>
    </row>
    <row r="490" spans="1:43" x14ac:dyDescent="0.2">
      <c r="M490"/>
      <c r="N490"/>
      <c r="O490"/>
      <c r="P490"/>
      <c r="Q490"/>
    </row>
    <row r="491" spans="1:43" x14ac:dyDescent="0.2">
      <c r="M491"/>
      <c r="N491"/>
      <c r="O491"/>
      <c r="P491"/>
      <c r="Q491"/>
    </row>
    <row r="492" spans="1:43" ht="33" x14ac:dyDescent="0.25">
      <c r="A492" s="29" t="str">
        <f>CONCATENATE("Раздел: ",IF([1]Source!G318&lt;&gt;"Новый раздел", [1]Source!G318, ""))</f>
        <v>Раздел: Содержание садово-парковых дорожных покрытий с мощением парковым, пешеходным с разным уровнем уклона поверхности ( S=1040 м2 ) .</v>
      </c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M492"/>
      <c r="N492"/>
      <c r="O492"/>
      <c r="P492"/>
      <c r="Q492"/>
      <c r="AP492" s="30" t="str">
        <f>CONCATENATE("Раздел: ",IF([1]Source!G318&lt;&gt;"Новый раздел", [1]Source!G318, ""))</f>
        <v>Раздел: Содержание садово-парковых дорожных покрытий с мощением парковым, пешеходным с разным уровнем уклона поверхности ( S=1040 м2 ) .</v>
      </c>
    </row>
    <row r="493" spans="1:43" ht="28.5" x14ac:dyDescent="0.2">
      <c r="A493" s="31">
        <v>71</v>
      </c>
      <c r="B493" s="31" t="str">
        <f>[1]Source!F322</f>
        <v>калькуляция</v>
      </c>
      <c r="C493" s="31" t="str">
        <f>[1]Source!G322</f>
        <v>Подметание дорожек  вручную ( S=1040 м2)</v>
      </c>
      <c r="D493" s="32" t="str">
        <f>[1]Source!H322</f>
        <v>м2</v>
      </c>
      <c r="E493" s="4">
        <f>[1]Source!I322</f>
        <v>1040</v>
      </c>
      <c r="F493" s="33"/>
      <c r="G493" s="34"/>
      <c r="H493" s="4"/>
      <c r="I493" s="4"/>
      <c r="J493" s="33"/>
      <c r="K493" s="33"/>
      <c r="M493"/>
      <c r="N493"/>
      <c r="O493"/>
      <c r="P493"/>
      <c r="Q493"/>
      <c r="AB493">
        <f>ROUND(([1]Source!BZ322/100)*ROUND(([1]Source!AF322*[1]Source!AV322)*[1]Source!I322, 2), 2)</f>
        <v>0</v>
      </c>
      <c r="AC493">
        <f>[1]Source!X322</f>
        <v>0</v>
      </c>
      <c r="AD493">
        <f>ROUND(([1]Source!CA322/100)*ROUND(([1]Source!AF322*[1]Source!AV322)*[1]Source!I322, 2), 2)</f>
        <v>0</v>
      </c>
      <c r="AE493">
        <f>[1]Source!Y322</f>
        <v>0</v>
      </c>
      <c r="AF493">
        <f>ROUND((175/100)*ROUND(([1]Source!AE322*[1]Source!AV322)*[1]Source!I322, 2), 2)</f>
        <v>0</v>
      </c>
      <c r="AG493">
        <f>ROUND((108/100)*ROUND([1]Source!CS322*[1]Source!I322, 2), 2)</f>
        <v>0</v>
      </c>
    </row>
    <row r="494" spans="1:43" ht="14.25" x14ac:dyDescent="0.2">
      <c r="A494" s="31"/>
      <c r="B494" s="31"/>
      <c r="C494" s="31" t="s">
        <v>34</v>
      </c>
      <c r="D494" s="32"/>
      <c r="E494" s="4"/>
      <c r="F494" s="33">
        <f>[1]Source!AO322</f>
        <v>1.32</v>
      </c>
      <c r="G494" s="34" t="str">
        <f>[1]Source!DG322</f>
        <v>)*4*164</v>
      </c>
      <c r="H494" s="4">
        <f>[1]Source!AV322</f>
        <v>1</v>
      </c>
      <c r="I494" s="4">
        <f>IF([1]Source!BA322&lt;&gt; 0, [1]Source!BA322, 1)</f>
        <v>1</v>
      </c>
      <c r="J494" s="33">
        <f>[1]Source!S322</f>
        <v>900556.80000000005</v>
      </c>
      <c r="K494" s="33"/>
      <c r="M494"/>
      <c r="N494"/>
      <c r="O494"/>
      <c r="P494"/>
      <c r="Q494"/>
    </row>
    <row r="495" spans="1:43" ht="15" x14ac:dyDescent="0.25">
      <c r="A495" s="35"/>
      <c r="B495" s="35"/>
      <c r="C495" s="35"/>
      <c r="D495" s="35"/>
      <c r="E495" s="35"/>
      <c r="F495" s="35"/>
      <c r="G495" s="35"/>
      <c r="H495" s="35"/>
      <c r="I495" s="36">
        <f>J494</f>
        <v>900556.80000000005</v>
      </c>
      <c r="J495" s="36"/>
      <c r="K495" s="37">
        <f>IF([1]Source!I322&lt;&gt;0, ROUND(I495/[1]Source!I322, 2), 0)</f>
        <v>865.92</v>
      </c>
      <c r="M495"/>
      <c r="N495"/>
      <c r="O495"/>
      <c r="P495"/>
      <c r="Q495"/>
      <c r="AA495" s="38">
        <f>I495</f>
        <v>900556.80000000005</v>
      </c>
    </row>
    <row r="496" spans="1:43" ht="42.75" x14ac:dyDescent="0.2">
      <c r="A496" s="31">
        <v>72</v>
      </c>
      <c r="B496" s="31" t="str">
        <f>[1]Source!F323</f>
        <v>5.3-1102-8-1/1</v>
      </c>
      <c r="C496" s="31" t="str">
        <f>[1]Source!G323</f>
        <v>Уборка свежевыпавшего снега вручную толщиной слоя до 10 см ( S= 1040 м2* 0,8 *0,7*0,5=291,2 м2)</v>
      </c>
      <c r="D496" s="32" t="str">
        <f>[1]Source!H323</f>
        <v>100 м2</v>
      </c>
      <c r="E496" s="4">
        <f>[1]Source!I323</f>
        <v>2.9119999999999999</v>
      </c>
      <c r="F496" s="33"/>
      <c r="G496" s="34"/>
      <c r="H496" s="4"/>
      <c r="I496" s="4"/>
      <c r="J496" s="33"/>
      <c r="K496" s="33"/>
      <c r="M496"/>
      <c r="N496"/>
      <c r="O496"/>
      <c r="P496"/>
      <c r="Q496"/>
      <c r="AB496">
        <f>ROUND(([1]Source!BZ323/100)*ROUND(([1]Source!AF323*[1]Source!AV323)*[1]Source!I323, 2), 2)</f>
        <v>220744.04</v>
      </c>
      <c r="AC496">
        <f>[1]Source!X323</f>
        <v>220744.04</v>
      </c>
      <c r="AD496">
        <f>ROUND(([1]Source!CA323/100)*ROUND(([1]Source!AF323*[1]Source!AV323)*[1]Source!I323, 2), 2)</f>
        <v>31534.86</v>
      </c>
      <c r="AE496">
        <f>[1]Source!Y323</f>
        <v>31534.86</v>
      </c>
      <c r="AF496">
        <f>ROUND((175/100)*ROUND(([1]Source!AE323*[1]Source!AV323)*[1]Source!I323, 2), 2)</f>
        <v>0</v>
      </c>
      <c r="AG496">
        <f>ROUND((108/100)*ROUND([1]Source!CS323*[1]Source!I323, 2), 2)</f>
        <v>0</v>
      </c>
    </row>
    <row r="497" spans="1:33" x14ac:dyDescent="0.2">
      <c r="C497" s="40" t="str">
        <f>"Объем: "&amp;[1]Source!I323&amp;"=291,2/"&amp;"100"</f>
        <v>Объем: 2,912=291,2/100</v>
      </c>
      <c r="M497"/>
      <c r="N497"/>
      <c r="O497"/>
      <c r="P497"/>
      <c r="Q497"/>
    </row>
    <row r="498" spans="1:33" ht="14.25" x14ac:dyDescent="0.2">
      <c r="A498" s="31"/>
      <c r="B498" s="31"/>
      <c r="C498" s="31" t="s">
        <v>34</v>
      </c>
      <c r="D498" s="32"/>
      <c r="E498" s="4"/>
      <c r="F498" s="33">
        <f>[1]Source!AO323</f>
        <v>161.15</v>
      </c>
      <c r="G498" s="34" t="str">
        <f>[1]Source!DG323</f>
        <v>)*4*168</v>
      </c>
      <c r="H498" s="4">
        <f>[1]Source!AV323</f>
        <v>1</v>
      </c>
      <c r="I498" s="4">
        <f>IF([1]Source!BA323&lt;&gt; 0, [1]Source!BA323, 1)</f>
        <v>1</v>
      </c>
      <c r="J498" s="33">
        <f>[1]Source!S323</f>
        <v>315348.63</v>
      </c>
      <c r="K498" s="33"/>
      <c r="M498"/>
      <c r="N498"/>
      <c r="O498"/>
      <c r="P498"/>
      <c r="Q498"/>
    </row>
    <row r="499" spans="1:33" ht="14.25" x14ac:dyDescent="0.2">
      <c r="A499" s="31"/>
      <c r="B499" s="31"/>
      <c r="C499" s="31" t="s">
        <v>40</v>
      </c>
      <c r="D499" s="32" t="s">
        <v>39</v>
      </c>
      <c r="E499" s="4">
        <f>[1]Source!AT323</f>
        <v>70</v>
      </c>
      <c r="F499" s="33"/>
      <c r="G499" s="34"/>
      <c r="H499" s="4"/>
      <c r="I499" s="4"/>
      <c r="J499" s="33">
        <f>SUM(AC496:AC498)</f>
        <v>220744.04</v>
      </c>
      <c r="K499" s="33"/>
      <c r="M499"/>
      <c r="N499"/>
      <c r="O499"/>
      <c r="P499"/>
      <c r="Q499"/>
    </row>
    <row r="500" spans="1:33" ht="14.25" x14ac:dyDescent="0.2">
      <c r="A500" s="31"/>
      <c r="B500" s="31"/>
      <c r="C500" s="31" t="s">
        <v>41</v>
      </c>
      <c r="D500" s="32" t="s">
        <v>39</v>
      </c>
      <c r="E500" s="4">
        <f>[1]Source!AU323</f>
        <v>10</v>
      </c>
      <c r="F500" s="33"/>
      <c r="G500" s="34"/>
      <c r="H500" s="4"/>
      <c r="I500" s="4"/>
      <c r="J500" s="33">
        <f>SUM(AE496:AE499)</f>
        <v>31534.86</v>
      </c>
      <c r="K500" s="33"/>
      <c r="M500"/>
      <c r="N500"/>
      <c r="O500"/>
      <c r="P500"/>
      <c r="Q500"/>
    </row>
    <row r="501" spans="1:33" ht="14.25" x14ac:dyDescent="0.2">
      <c r="A501" s="31"/>
      <c r="B501" s="31"/>
      <c r="C501" s="31" t="s">
        <v>42</v>
      </c>
      <c r="D501" s="32" t="s">
        <v>43</v>
      </c>
      <c r="E501" s="4">
        <f>[1]Source!AQ323</f>
        <v>0.65</v>
      </c>
      <c r="F501" s="33"/>
      <c r="G501" s="34" t="str">
        <f>[1]Source!DI323</f>
        <v>)*4*168</v>
      </c>
      <c r="H501" s="4">
        <f>[1]Source!AV323</f>
        <v>1</v>
      </c>
      <c r="I501" s="4"/>
      <c r="J501" s="33"/>
      <c r="K501" s="33">
        <f>[1]Source!U323</f>
        <v>1271.9616000000001</v>
      </c>
      <c r="M501"/>
      <c r="N501"/>
      <c r="O501"/>
      <c r="P501"/>
      <c r="Q501"/>
    </row>
    <row r="502" spans="1:33" ht="15" x14ac:dyDescent="0.25">
      <c r="A502" s="35"/>
      <c r="B502" s="35"/>
      <c r="C502" s="35"/>
      <c r="D502" s="35"/>
      <c r="E502" s="35"/>
      <c r="F502" s="35"/>
      <c r="G502" s="35"/>
      <c r="H502" s="35"/>
      <c r="I502" s="36">
        <f>J498+J499+J500</f>
        <v>567627.53</v>
      </c>
      <c r="J502" s="36"/>
      <c r="K502" s="37">
        <f>IF([1]Source!I323&lt;&gt;0, ROUND(I502/[1]Source!I323, 2), 0)</f>
        <v>194927.04</v>
      </c>
      <c r="M502"/>
      <c r="N502"/>
      <c r="O502"/>
      <c r="P502"/>
      <c r="Q502"/>
      <c r="AA502" s="38">
        <f>I502</f>
        <v>567627.53</v>
      </c>
    </row>
    <row r="503" spans="1:33" ht="28.5" x14ac:dyDescent="0.2">
      <c r="A503" s="31">
        <v>73</v>
      </c>
      <c r="B503" s="31" t="str">
        <f>[1]Source!F324</f>
        <v>5.3-1102-8-3/1</v>
      </c>
      <c r="C503" s="31" t="str">
        <f>[1]Source!G324</f>
        <v>Уборка слежавшегося снега вручную( S=1040 м2*0,8*0,7*0,5=291,2м2 )</v>
      </c>
      <c r="D503" s="32" t="str">
        <f>[1]Source!H324</f>
        <v>100 м2</v>
      </c>
      <c r="E503" s="4">
        <f>[1]Source!I324</f>
        <v>2.9119999999999999</v>
      </c>
      <c r="F503" s="33"/>
      <c r="G503" s="34"/>
      <c r="H503" s="4"/>
      <c r="I503" s="4"/>
      <c r="J503" s="33"/>
      <c r="K503" s="33"/>
      <c r="M503"/>
      <c r="N503"/>
      <c r="O503"/>
      <c r="P503"/>
      <c r="Q503"/>
      <c r="AB503">
        <f>ROUND(([1]Source!BZ324/100)*ROUND(([1]Source!AF324*[1]Source!AV324)*[1]Source!I324, 2), 2)</f>
        <v>129902.02</v>
      </c>
      <c r="AC503">
        <f>[1]Source!X324</f>
        <v>129902.02</v>
      </c>
      <c r="AD503">
        <f>ROUND(([1]Source!CA324/100)*ROUND(([1]Source!AF324*[1]Source!AV324)*[1]Source!I324, 2), 2)</f>
        <v>18557.43</v>
      </c>
      <c r="AE503">
        <f>[1]Source!Y324</f>
        <v>18557.43</v>
      </c>
      <c r="AF503">
        <f>ROUND((175/100)*ROUND(([1]Source!AE324*[1]Source!AV324)*[1]Source!I324, 2), 2)</f>
        <v>0</v>
      </c>
      <c r="AG503">
        <f>ROUND((108/100)*ROUND([1]Source!CS324*[1]Source!I324, 2), 2)</f>
        <v>0</v>
      </c>
    </row>
    <row r="504" spans="1:33" x14ac:dyDescent="0.2">
      <c r="C504" s="40" t="str">
        <f>"Объем: "&amp;[1]Source!I324&amp;"=291,2/"&amp;"100"</f>
        <v>Объем: 2,912=291,2/100</v>
      </c>
      <c r="M504"/>
      <c r="N504"/>
      <c r="O504"/>
      <c r="P504"/>
      <c r="Q504"/>
    </row>
    <row r="505" spans="1:33" ht="14.25" x14ac:dyDescent="0.2">
      <c r="A505" s="31"/>
      <c r="B505" s="31"/>
      <c r="C505" s="31" t="s">
        <v>34</v>
      </c>
      <c r="D505" s="32"/>
      <c r="E505" s="4"/>
      <c r="F505" s="33">
        <f>[1]Source!AO324</f>
        <v>379.33</v>
      </c>
      <c r="G505" s="34" t="str">
        <f>[1]Source!DG324</f>
        <v>)*1*168</v>
      </c>
      <c r="H505" s="4">
        <f>[1]Source!AV324</f>
        <v>1</v>
      </c>
      <c r="I505" s="4">
        <f>IF([1]Source!BA324&lt;&gt; 0, [1]Source!BA324, 1)</f>
        <v>1</v>
      </c>
      <c r="J505" s="33">
        <f>[1]Source!S324</f>
        <v>185574.31</v>
      </c>
      <c r="K505" s="33"/>
      <c r="M505"/>
      <c r="N505"/>
      <c r="O505"/>
      <c r="P505"/>
      <c r="Q505"/>
    </row>
    <row r="506" spans="1:33" ht="14.25" x14ac:dyDescent="0.2">
      <c r="A506" s="31"/>
      <c r="B506" s="31"/>
      <c r="C506" s="31" t="s">
        <v>40</v>
      </c>
      <c r="D506" s="32" t="s">
        <v>39</v>
      </c>
      <c r="E506" s="4">
        <f>[1]Source!AT324</f>
        <v>70</v>
      </c>
      <c r="F506" s="33"/>
      <c r="G506" s="34"/>
      <c r="H506" s="4"/>
      <c r="I506" s="4"/>
      <c r="J506" s="33">
        <f>SUM(AC503:AC505)</f>
        <v>129902.02</v>
      </c>
      <c r="K506" s="33"/>
      <c r="M506"/>
      <c r="N506"/>
      <c r="O506"/>
      <c r="P506"/>
      <c r="Q506"/>
    </row>
    <row r="507" spans="1:33" ht="14.25" x14ac:dyDescent="0.2">
      <c r="A507" s="31"/>
      <c r="B507" s="31"/>
      <c r="C507" s="31" t="s">
        <v>41</v>
      </c>
      <c r="D507" s="32" t="s">
        <v>39</v>
      </c>
      <c r="E507" s="4">
        <f>[1]Source!AU324</f>
        <v>10</v>
      </c>
      <c r="F507" s="33"/>
      <c r="G507" s="34"/>
      <c r="H507" s="4"/>
      <c r="I507" s="4"/>
      <c r="J507" s="33">
        <f>SUM(AE503:AE506)</f>
        <v>18557.43</v>
      </c>
      <c r="K507" s="33"/>
      <c r="M507"/>
      <c r="N507"/>
      <c r="O507"/>
      <c r="P507"/>
      <c r="Q507"/>
    </row>
    <row r="508" spans="1:33" ht="14.25" x14ac:dyDescent="0.2">
      <c r="A508" s="31"/>
      <c r="B508" s="31"/>
      <c r="C508" s="31" t="s">
        <v>42</v>
      </c>
      <c r="D508" s="32" t="s">
        <v>43</v>
      </c>
      <c r="E508" s="4">
        <f>[1]Source!AQ324</f>
        <v>1.53</v>
      </c>
      <c r="F508" s="33"/>
      <c r="G508" s="34" t="str">
        <f>[1]Source!DI324</f>
        <v>)*1*168</v>
      </c>
      <c r="H508" s="4">
        <f>[1]Source!AV324</f>
        <v>1</v>
      </c>
      <c r="I508" s="4"/>
      <c r="J508" s="33"/>
      <c r="K508" s="33">
        <f>[1]Source!U324</f>
        <v>748.50048000000004</v>
      </c>
      <c r="M508"/>
      <c r="N508"/>
      <c r="O508"/>
      <c r="P508"/>
      <c r="Q508"/>
    </row>
    <row r="509" spans="1:33" ht="15" x14ac:dyDescent="0.25">
      <c r="A509" s="35"/>
      <c r="B509" s="35"/>
      <c r="C509" s="35"/>
      <c r="D509" s="35"/>
      <c r="E509" s="35"/>
      <c r="F509" s="35"/>
      <c r="G509" s="35"/>
      <c r="H509" s="35"/>
      <c r="I509" s="36">
        <f>J505+J506+J507</f>
        <v>334033.76</v>
      </c>
      <c r="J509" s="36"/>
      <c r="K509" s="37">
        <f>IF([1]Source!I324&lt;&gt;0, ROUND(I509/[1]Source!I324, 2), 0)</f>
        <v>114709.4</v>
      </c>
      <c r="M509"/>
      <c r="N509"/>
      <c r="O509"/>
      <c r="P509"/>
      <c r="Q509"/>
      <c r="AA509" s="38">
        <f>I509</f>
        <v>334033.76</v>
      </c>
    </row>
    <row r="510" spans="1:33" ht="42.75" x14ac:dyDescent="0.2">
      <c r="A510" s="31">
        <v>74</v>
      </c>
      <c r="B510" s="31" t="str">
        <f>[1]Source!F325</f>
        <v>5.3-1102-8-1/1</v>
      </c>
      <c r="C510" s="31" t="str">
        <f>[1]Source!G325</f>
        <v>Уборка свежевыпавшего снега вручную толщиной слоя до 10 см ( S= 1040 м2* 0,8 *0,3*0,5= 124,8 м2)</v>
      </c>
      <c r="D510" s="32" t="str">
        <f>[1]Source!H325</f>
        <v>100 м2</v>
      </c>
      <c r="E510" s="4">
        <f>[1]Source!I325</f>
        <v>1.248</v>
      </c>
      <c r="F510" s="33"/>
      <c r="G510" s="34"/>
      <c r="H510" s="4"/>
      <c r="I510" s="4"/>
      <c r="J510" s="33"/>
      <c r="K510" s="33"/>
      <c r="M510"/>
      <c r="N510"/>
      <c r="O510"/>
      <c r="P510"/>
      <c r="Q510"/>
      <c r="AB510">
        <f>ROUND(([1]Source!BZ325/100)*ROUND(([1]Source!AF325*[1]Source!AV325)*[1]Source!I325, 2), 2)</f>
        <v>94604.59</v>
      </c>
      <c r="AC510">
        <f>[1]Source!X325</f>
        <v>94604.59</v>
      </c>
      <c r="AD510">
        <f>ROUND(([1]Source!CA325/100)*ROUND(([1]Source!AF325*[1]Source!AV325)*[1]Source!I325, 2), 2)</f>
        <v>13514.94</v>
      </c>
      <c r="AE510">
        <f>[1]Source!Y325</f>
        <v>13514.94</v>
      </c>
      <c r="AF510">
        <f>ROUND((175/100)*ROUND(([1]Source!AE325*[1]Source!AV325)*[1]Source!I325, 2), 2)</f>
        <v>0</v>
      </c>
      <c r="AG510">
        <f>ROUND((108/100)*ROUND([1]Source!CS325*[1]Source!I325, 2), 2)</f>
        <v>0</v>
      </c>
    </row>
    <row r="511" spans="1:33" x14ac:dyDescent="0.2">
      <c r="C511" s="40" t="str">
        <f>"Объем: "&amp;[1]Source!I325&amp;"=124,8/"&amp;"100"</f>
        <v>Объем: 1,248=124,8/100</v>
      </c>
      <c r="M511"/>
      <c r="N511"/>
      <c r="O511"/>
      <c r="P511"/>
      <c r="Q511"/>
    </row>
    <row r="512" spans="1:33" ht="14.25" x14ac:dyDescent="0.2">
      <c r="A512" s="31"/>
      <c r="B512" s="31"/>
      <c r="C512" s="31" t="s">
        <v>34</v>
      </c>
      <c r="D512" s="32"/>
      <c r="E512" s="4"/>
      <c r="F512" s="33">
        <f>[1]Source!AO325</f>
        <v>161.15</v>
      </c>
      <c r="G512" s="34" t="str">
        <f>[1]Source!DG325</f>
        <v>)*4*168</v>
      </c>
      <c r="H512" s="4">
        <f>[1]Source!AV325</f>
        <v>1</v>
      </c>
      <c r="I512" s="4">
        <f>IF([1]Source!BA325&lt;&gt; 0, [1]Source!BA325, 1)</f>
        <v>1</v>
      </c>
      <c r="J512" s="33">
        <f>[1]Source!S325</f>
        <v>135149.41</v>
      </c>
      <c r="K512" s="33"/>
      <c r="M512"/>
      <c r="N512"/>
      <c r="O512"/>
      <c r="P512"/>
      <c r="Q512"/>
    </row>
    <row r="513" spans="1:33" ht="14.25" x14ac:dyDescent="0.2">
      <c r="A513" s="31"/>
      <c r="B513" s="31"/>
      <c r="C513" s="31" t="s">
        <v>40</v>
      </c>
      <c r="D513" s="32" t="s">
        <v>39</v>
      </c>
      <c r="E513" s="4">
        <f>[1]Source!AT325</f>
        <v>70</v>
      </c>
      <c r="F513" s="33"/>
      <c r="G513" s="34"/>
      <c r="H513" s="4"/>
      <c r="I513" s="4"/>
      <c r="J513" s="33">
        <f>SUM(AC510:AC512)</f>
        <v>94604.59</v>
      </c>
      <c r="K513" s="33"/>
      <c r="M513"/>
      <c r="N513"/>
      <c r="O513"/>
      <c r="P513"/>
      <c r="Q513"/>
    </row>
    <row r="514" spans="1:33" ht="14.25" x14ac:dyDescent="0.2">
      <c r="A514" s="31"/>
      <c r="B514" s="31"/>
      <c r="C514" s="31" t="s">
        <v>41</v>
      </c>
      <c r="D514" s="32" t="s">
        <v>39</v>
      </c>
      <c r="E514" s="4">
        <f>[1]Source!AU325</f>
        <v>10</v>
      </c>
      <c r="F514" s="33"/>
      <c r="G514" s="34"/>
      <c r="H514" s="4"/>
      <c r="I514" s="4"/>
      <c r="J514" s="33">
        <f>SUM(AE510:AE513)</f>
        <v>13514.94</v>
      </c>
      <c r="K514" s="33"/>
      <c r="M514"/>
      <c r="N514"/>
      <c r="O514"/>
      <c r="P514"/>
      <c r="Q514"/>
    </row>
    <row r="515" spans="1:33" ht="14.25" x14ac:dyDescent="0.2">
      <c r="A515" s="31"/>
      <c r="B515" s="31"/>
      <c r="C515" s="31" t="s">
        <v>42</v>
      </c>
      <c r="D515" s="32" t="s">
        <v>43</v>
      </c>
      <c r="E515" s="4">
        <f>[1]Source!AQ325</f>
        <v>0.65</v>
      </c>
      <c r="F515" s="33"/>
      <c r="G515" s="34" t="str">
        <f>[1]Source!DI325</f>
        <v>)*4*168</v>
      </c>
      <c r="H515" s="4">
        <f>[1]Source!AV325</f>
        <v>1</v>
      </c>
      <c r="I515" s="4"/>
      <c r="J515" s="33"/>
      <c r="K515" s="33">
        <f>[1]Source!U325</f>
        <v>545.12639999999999</v>
      </c>
      <c r="M515"/>
      <c r="N515"/>
      <c r="O515"/>
      <c r="P515"/>
      <c r="Q515"/>
    </row>
    <row r="516" spans="1:33" ht="15" x14ac:dyDescent="0.25">
      <c r="A516" s="35"/>
      <c r="B516" s="35"/>
      <c r="C516" s="35"/>
      <c r="D516" s="35"/>
      <c r="E516" s="35"/>
      <c r="F516" s="35"/>
      <c r="G516" s="35"/>
      <c r="H516" s="35"/>
      <c r="I516" s="36">
        <f>J512+J513+J514</f>
        <v>243268.94</v>
      </c>
      <c r="J516" s="36"/>
      <c r="K516" s="37">
        <f>IF([1]Source!I325&lt;&gt;0, ROUND(I516/[1]Source!I325, 2), 0)</f>
        <v>194927.04</v>
      </c>
      <c r="M516"/>
      <c r="N516"/>
      <c r="O516"/>
      <c r="P516"/>
      <c r="Q516"/>
      <c r="AA516" s="38">
        <f>I516</f>
        <v>243268.94</v>
      </c>
    </row>
    <row r="517" spans="1:33" ht="57" x14ac:dyDescent="0.2">
      <c r="A517" s="31">
        <v>75</v>
      </c>
      <c r="B517" s="31" t="str">
        <f>[1]Source!F326</f>
        <v>5.3-1102-8-2/1</v>
      </c>
      <c r="C517" s="31" t="str">
        <f>[1]Source!G326</f>
        <v>Уборка свежевыпавшего снега вручную, добавлять на каждые следующие 10 см увеличения толщины слоя</v>
      </c>
      <c r="D517" s="32" t="str">
        <f>[1]Source!H326</f>
        <v>100 м2</v>
      </c>
      <c r="E517" s="4">
        <f>[1]Source!I326</f>
        <v>1.248</v>
      </c>
      <c r="F517" s="33"/>
      <c r="G517" s="34"/>
      <c r="H517" s="4"/>
      <c r="I517" s="4"/>
      <c r="J517" s="33"/>
      <c r="K517" s="33"/>
      <c r="M517"/>
      <c r="N517"/>
      <c r="O517"/>
      <c r="P517"/>
      <c r="Q517"/>
      <c r="AB517">
        <f>ROUND(([1]Source!BZ326/100)*ROUND(([1]Source!AF326*[1]Source!AV326)*[1]Source!I326, 2), 2)</f>
        <v>68410.009999999995</v>
      </c>
      <c r="AC517">
        <f>[1]Source!X326</f>
        <v>68410.009999999995</v>
      </c>
      <c r="AD517">
        <f>ROUND(([1]Source!CA326/100)*ROUND(([1]Source!AF326*[1]Source!AV326)*[1]Source!I326, 2), 2)</f>
        <v>9772.86</v>
      </c>
      <c r="AE517">
        <f>[1]Source!Y326</f>
        <v>9772.86</v>
      </c>
      <c r="AF517">
        <f>ROUND((175/100)*ROUND(([1]Source!AE326*[1]Source!AV326)*[1]Source!I326, 2), 2)</f>
        <v>0</v>
      </c>
      <c r="AG517">
        <f>ROUND((108/100)*ROUND([1]Source!CS326*[1]Source!I326, 2), 2)</f>
        <v>0</v>
      </c>
    </row>
    <row r="518" spans="1:33" x14ac:dyDescent="0.2">
      <c r="C518" s="40" t="str">
        <f>"Объем: "&amp;[1]Source!I326&amp;"=124,8/"&amp;"100"</f>
        <v>Объем: 1,248=124,8/100</v>
      </c>
      <c r="M518"/>
      <c r="N518"/>
      <c r="O518"/>
      <c r="P518"/>
      <c r="Q518"/>
    </row>
    <row r="519" spans="1:33" ht="14.25" x14ac:dyDescent="0.2">
      <c r="A519" s="31"/>
      <c r="B519" s="31"/>
      <c r="C519" s="31" t="s">
        <v>34</v>
      </c>
      <c r="D519" s="32"/>
      <c r="E519" s="4"/>
      <c r="F519" s="33">
        <f>[1]Source!AO326</f>
        <v>116.53</v>
      </c>
      <c r="G519" s="34" t="str">
        <f>[1]Source!DG326</f>
        <v>)*4*168</v>
      </c>
      <c r="H519" s="4">
        <f>[1]Source!AV326</f>
        <v>1</v>
      </c>
      <c r="I519" s="4">
        <f>IF([1]Source!BA326&lt;&gt; 0, [1]Source!BA326, 1)</f>
        <v>1</v>
      </c>
      <c r="J519" s="33">
        <f>[1]Source!S326</f>
        <v>97728.58</v>
      </c>
      <c r="K519" s="33"/>
      <c r="M519"/>
      <c r="N519"/>
      <c r="O519"/>
      <c r="P519"/>
      <c r="Q519"/>
    </row>
    <row r="520" spans="1:33" ht="14.25" x14ac:dyDescent="0.2">
      <c r="A520" s="31"/>
      <c r="B520" s="31"/>
      <c r="C520" s="31" t="s">
        <v>40</v>
      </c>
      <c r="D520" s="32" t="s">
        <v>39</v>
      </c>
      <c r="E520" s="4">
        <f>[1]Source!AT326</f>
        <v>70</v>
      </c>
      <c r="F520" s="33"/>
      <c r="G520" s="34"/>
      <c r="H520" s="4"/>
      <c r="I520" s="4"/>
      <c r="J520" s="33">
        <f>SUM(AC517:AC519)</f>
        <v>68410.009999999995</v>
      </c>
      <c r="K520" s="33"/>
      <c r="M520"/>
      <c r="N520"/>
      <c r="O520"/>
      <c r="P520"/>
      <c r="Q520"/>
    </row>
    <row r="521" spans="1:33" ht="14.25" x14ac:dyDescent="0.2">
      <c r="A521" s="31"/>
      <c r="B521" s="31"/>
      <c r="C521" s="31" t="s">
        <v>41</v>
      </c>
      <c r="D521" s="32" t="s">
        <v>39</v>
      </c>
      <c r="E521" s="4">
        <f>[1]Source!AU326</f>
        <v>10</v>
      </c>
      <c r="F521" s="33"/>
      <c r="G521" s="34"/>
      <c r="H521" s="4"/>
      <c r="I521" s="4"/>
      <c r="J521" s="33">
        <f>SUM(AE517:AE520)</f>
        <v>9772.86</v>
      </c>
      <c r="K521" s="33"/>
      <c r="M521"/>
      <c r="N521"/>
      <c r="O521"/>
      <c r="P521"/>
      <c r="Q521"/>
    </row>
    <row r="522" spans="1:33" ht="14.25" x14ac:dyDescent="0.2">
      <c r="A522" s="31"/>
      <c r="B522" s="31"/>
      <c r="C522" s="31" t="s">
        <v>42</v>
      </c>
      <c r="D522" s="32" t="s">
        <v>43</v>
      </c>
      <c r="E522" s="4">
        <f>[1]Source!AQ326</f>
        <v>0.47</v>
      </c>
      <c r="F522" s="33"/>
      <c r="G522" s="34" t="str">
        <f>[1]Source!DI326</f>
        <v>)*4*168</v>
      </c>
      <c r="H522" s="4">
        <f>[1]Source!AV326</f>
        <v>1</v>
      </c>
      <c r="I522" s="4"/>
      <c r="J522" s="33"/>
      <c r="K522" s="33">
        <f>[1]Source!U326</f>
        <v>394.16831999999999</v>
      </c>
      <c r="M522"/>
      <c r="N522"/>
      <c r="O522"/>
      <c r="P522"/>
      <c r="Q522"/>
    </row>
    <row r="523" spans="1:33" ht="15" x14ac:dyDescent="0.25">
      <c r="A523" s="35"/>
      <c r="B523" s="35"/>
      <c r="C523" s="35"/>
      <c r="D523" s="35"/>
      <c r="E523" s="35"/>
      <c r="F523" s="35"/>
      <c r="G523" s="35"/>
      <c r="H523" s="35"/>
      <c r="I523" s="36">
        <f>J519+J520+J521</f>
        <v>175911.45</v>
      </c>
      <c r="J523" s="36"/>
      <c r="K523" s="37">
        <f>IF([1]Source!I326&lt;&gt;0, ROUND(I523/[1]Source!I326, 2), 0)</f>
        <v>140954.69</v>
      </c>
      <c r="M523"/>
      <c r="N523"/>
      <c r="O523"/>
      <c r="P523"/>
      <c r="Q523"/>
      <c r="AA523" s="38">
        <f>I523</f>
        <v>175911.45</v>
      </c>
    </row>
    <row r="524" spans="1:33" ht="57" x14ac:dyDescent="0.2">
      <c r="A524" s="31">
        <v>76</v>
      </c>
      <c r="B524" s="31" t="str">
        <f>[1]Source!F327</f>
        <v>5.3-1102-24-1/1</v>
      </c>
      <c r="C524" s="31" t="str">
        <f>[1]Source!G327</f>
        <v>Уборка свежевыпавшего снега ручной самоходной машиной - ширина захвата 120 см ( S= 1040 м2*0,2=208 м2 )</v>
      </c>
      <c r="D524" s="32" t="str">
        <f>[1]Source!H327</f>
        <v>100 м2</v>
      </c>
      <c r="E524" s="4">
        <f>[1]Source!I327</f>
        <v>2.08</v>
      </c>
      <c r="F524" s="33"/>
      <c r="G524" s="34"/>
      <c r="H524" s="4"/>
      <c r="I524" s="4"/>
      <c r="J524" s="33"/>
      <c r="K524" s="33"/>
      <c r="M524"/>
      <c r="N524"/>
      <c r="O524"/>
      <c r="P524"/>
      <c r="Q524"/>
      <c r="AB524">
        <f>ROUND(([1]Source!BZ327/100)*ROUND(([1]Source!AF327*[1]Source!AV327)*[1]Source!I327, 2), 2)</f>
        <v>94966.61</v>
      </c>
      <c r="AC524">
        <f>[1]Source!X327</f>
        <v>94966.61</v>
      </c>
      <c r="AD524">
        <f>ROUND(([1]Source!CA327/100)*ROUND(([1]Source!AF327*[1]Source!AV327)*[1]Source!I327, 2), 2)</f>
        <v>13566.66</v>
      </c>
      <c r="AE524">
        <f>[1]Source!Y327</f>
        <v>13566.66</v>
      </c>
      <c r="AF524">
        <f>ROUND((175/100)*ROUND(([1]Source!AE327*[1]Source!AV327)*[1]Source!I327, 2), 2)</f>
        <v>220.15</v>
      </c>
      <c r="AG524">
        <f>ROUND((108/100)*ROUND([1]Source!CS327*[1]Source!I327, 2), 2)</f>
        <v>135.86000000000001</v>
      </c>
    </row>
    <row r="525" spans="1:33" x14ac:dyDescent="0.2">
      <c r="C525" s="40" t="str">
        <f>"Объем: "&amp;[1]Source!I327&amp;"=208/"&amp;"100"</f>
        <v>Объем: 2,08=208/100</v>
      </c>
      <c r="M525"/>
      <c r="N525"/>
      <c r="O525"/>
      <c r="P525"/>
      <c r="Q525"/>
    </row>
    <row r="526" spans="1:33" ht="14.25" x14ac:dyDescent="0.2">
      <c r="A526" s="31"/>
      <c r="B526" s="31"/>
      <c r="C526" s="31" t="s">
        <v>34</v>
      </c>
      <c r="D526" s="32"/>
      <c r="E526" s="4"/>
      <c r="F526" s="33">
        <f>[1]Source!AO327</f>
        <v>97.06</v>
      </c>
      <c r="G526" s="34" t="str">
        <f>[1]Source!DG327</f>
        <v>)*4*168</v>
      </c>
      <c r="H526" s="4">
        <f>[1]Source!AV327</f>
        <v>1</v>
      </c>
      <c r="I526" s="4">
        <f>IF([1]Source!BA327&lt;&gt; 0, [1]Source!BA327, 1)</f>
        <v>1</v>
      </c>
      <c r="J526" s="33">
        <f>[1]Source!S327</f>
        <v>135666.59</v>
      </c>
      <c r="K526" s="33"/>
      <c r="M526"/>
      <c r="N526"/>
      <c r="O526"/>
      <c r="P526"/>
      <c r="Q526"/>
    </row>
    <row r="527" spans="1:33" ht="14.25" x14ac:dyDescent="0.2">
      <c r="A527" s="31"/>
      <c r="B527" s="31"/>
      <c r="C527" s="31" t="s">
        <v>33</v>
      </c>
      <c r="D527" s="32"/>
      <c r="E527" s="4"/>
      <c r="F527" s="33">
        <f>[1]Source!AM327</f>
        <v>33.97</v>
      </c>
      <c r="G527" s="34" t="str">
        <f>[1]Source!DE327</f>
        <v>)*4*168</v>
      </c>
      <c r="H527" s="4">
        <f>[1]Source!AV327</f>
        <v>1</v>
      </c>
      <c r="I527" s="4">
        <f>IF([1]Source!BB327&lt;&gt; 0, [1]Source!BB327, 1)</f>
        <v>1</v>
      </c>
      <c r="J527" s="33">
        <f>[1]Source!Q327</f>
        <v>47481.91</v>
      </c>
      <c r="K527" s="33"/>
      <c r="M527"/>
      <c r="N527"/>
      <c r="O527"/>
      <c r="P527"/>
      <c r="Q527"/>
    </row>
    <row r="528" spans="1:33" ht="14.25" x14ac:dyDescent="0.2">
      <c r="A528" s="31"/>
      <c r="B528" s="31"/>
      <c r="C528" s="31" t="s">
        <v>37</v>
      </c>
      <c r="D528" s="32"/>
      <c r="E528" s="4"/>
      <c r="F528" s="33">
        <f>[1]Source!AN327</f>
        <v>0.09</v>
      </c>
      <c r="G528" s="34" t="str">
        <f>[1]Source!DF327</f>
        <v>)*4*168</v>
      </c>
      <c r="H528" s="4">
        <f>[1]Source!AV327</f>
        <v>1</v>
      </c>
      <c r="I528" s="4">
        <f>IF([1]Source!BS327&lt;&gt; 0, [1]Source!BS327, 1)</f>
        <v>1</v>
      </c>
      <c r="J528" s="41">
        <f>[1]Source!R327</f>
        <v>125.8</v>
      </c>
      <c r="K528" s="33"/>
      <c r="M528"/>
      <c r="N528"/>
      <c r="O528"/>
      <c r="P528"/>
      <c r="Q528"/>
    </row>
    <row r="529" spans="1:33" ht="14.25" x14ac:dyDescent="0.2">
      <c r="A529" s="31"/>
      <c r="B529" s="31"/>
      <c r="C529" s="31" t="s">
        <v>40</v>
      </c>
      <c r="D529" s="32" t="s">
        <v>39</v>
      </c>
      <c r="E529" s="4">
        <f>[1]Source!AT327</f>
        <v>70</v>
      </c>
      <c r="F529" s="33"/>
      <c r="G529" s="34"/>
      <c r="H529" s="4"/>
      <c r="I529" s="4"/>
      <c r="J529" s="33">
        <f>SUM(AC524:AC528)</f>
        <v>94966.61</v>
      </c>
      <c r="K529" s="33"/>
      <c r="M529"/>
      <c r="N529"/>
      <c r="O529"/>
      <c r="P529"/>
      <c r="Q529"/>
    </row>
    <row r="530" spans="1:33" ht="14.25" x14ac:dyDescent="0.2">
      <c r="A530" s="31"/>
      <c r="B530" s="31"/>
      <c r="C530" s="31" t="s">
        <v>41</v>
      </c>
      <c r="D530" s="32" t="s">
        <v>39</v>
      </c>
      <c r="E530" s="4">
        <f>[1]Source!AU327</f>
        <v>10</v>
      </c>
      <c r="F530" s="33"/>
      <c r="G530" s="34"/>
      <c r="H530" s="4"/>
      <c r="I530" s="4"/>
      <c r="J530" s="33">
        <f>SUM(AE524:AE529)</f>
        <v>13566.66</v>
      </c>
      <c r="K530" s="33"/>
      <c r="M530"/>
      <c r="N530"/>
      <c r="O530"/>
      <c r="P530"/>
      <c r="Q530"/>
    </row>
    <row r="531" spans="1:33" ht="14.25" x14ac:dyDescent="0.2">
      <c r="A531" s="31"/>
      <c r="B531" s="31"/>
      <c r="C531" s="31" t="s">
        <v>38</v>
      </c>
      <c r="D531" s="32" t="s">
        <v>39</v>
      </c>
      <c r="E531" s="4">
        <f>108</f>
        <v>108</v>
      </c>
      <c r="F531" s="33"/>
      <c r="G531" s="34"/>
      <c r="H531" s="4"/>
      <c r="I531" s="4"/>
      <c r="J531" s="33">
        <f>SUM(AG524:AG530)</f>
        <v>135.86000000000001</v>
      </c>
      <c r="K531" s="33"/>
      <c r="M531"/>
      <c r="N531"/>
      <c r="O531"/>
      <c r="P531"/>
      <c r="Q531"/>
    </row>
    <row r="532" spans="1:33" ht="14.25" x14ac:dyDescent="0.2">
      <c r="A532" s="31"/>
      <c r="B532" s="31"/>
      <c r="C532" s="31" t="s">
        <v>42</v>
      </c>
      <c r="D532" s="32" t="s">
        <v>43</v>
      </c>
      <c r="E532" s="4">
        <f>[1]Source!AQ327</f>
        <v>0.35</v>
      </c>
      <c r="F532" s="33"/>
      <c r="G532" s="34" t="str">
        <f>[1]Source!DI327</f>
        <v>)*4*168</v>
      </c>
      <c r="H532" s="4">
        <f>[1]Source!AV327</f>
        <v>1</v>
      </c>
      <c r="I532" s="4"/>
      <c r="J532" s="33"/>
      <c r="K532" s="33">
        <f>[1]Source!U327</f>
        <v>489.21600000000001</v>
      </c>
      <c r="M532"/>
      <c r="N532"/>
      <c r="O532"/>
      <c r="P532"/>
      <c r="Q532"/>
    </row>
    <row r="533" spans="1:33" ht="15" x14ac:dyDescent="0.25">
      <c r="A533" s="35"/>
      <c r="B533" s="35"/>
      <c r="C533" s="35"/>
      <c r="D533" s="35"/>
      <c r="E533" s="35"/>
      <c r="F533" s="35"/>
      <c r="G533" s="35"/>
      <c r="H533" s="35"/>
      <c r="I533" s="36">
        <f>J526+J527+J529+J530+J531</f>
        <v>291817.62999999995</v>
      </c>
      <c r="J533" s="36"/>
      <c r="K533" s="37">
        <f>IF([1]Source!I327&lt;&gt;0, ROUND(I533/[1]Source!I327, 2), 0)</f>
        <v>140296.94</v>
      </c>
      <c r="M533"/>
      <c r="N533"/>
      <c r="O533"/>
      <c r="P533"/>
      <c r="Q533"/>
      <c r="AA533" s="38">
        <f>I533</f>
        <v>291817.62999999995</v>
      </c>
    </row>
    <row r="534" spans="1:33" ht="42.75" x14ac:dyDescent="0.2">
      <c r="A534" s="31">
        <v>77</v>
      </c>
      <c r="B534" s="31" t="str">
        <f>[1]Source!F328</f>
        <v>5.3-1102-9-1/1</v>
      </c>
      <c r="C534" s="31" t="str">
        <f>[1]Source!G328</f>
        <v>Колка льда на обледеневших покрытиях вручную ( S=1040 м2*0,8*0,3*0,5=124,8 м2)</v>
      </c>
      <c r="D534" s="32" t="str">
        <f>[1]Source!H328</f>
        <v>100 м2</v>
      </c>
      <c r="E534" s="4">
        <f>[1]Source!I328</f>
        <v>1.248</v>
      </c>
      <c r="F534" s="33"/>
      <c r="G534" s="34"/>
      <c r="H534" s="4"/>
      <c r="I534" s="4"/>
      <c r="J534" s="33"/>
      <c r="K534" s="33"/>
      <c r="M534"/>
      <c r="N534"/>
      <c r="O534"/>
      <c r="P534"/>
      <c r="Q534"/>
      <c r="AB534">
        <f>ROUND(([1]Source!BZ328/100)*ROUND(([1]Source!AF328*[1]Source!AV328)*[1]Source!I328, 2), 2)</f>
        <v>175386.87</v>
      </c>
      <c r="AC534">
        <f>[1]Source!X328</f>
        <v>175386.87</v>
      </c>
      <c r="AD534">
        <f>ROUND(([1]Source!CA328/100)*ROUND(([1]Source!AF328*[1]Source!AV328)*[1]Source!I328, 2), 2)</f>
        <v>25055.27</v>
      </c>
      <c r="AE534">
        <f>[1]Source!Y328</f>
        <v>25055.27</v>
      </c>
      <c r="AF534">
        <f>ROUND((175/100)*ROUND(([1]Source!AE328*[1]Source!AV328)*[1]Source!I328, 2), 2)</f>
        <v>0</v>
      </c>
      <c r="AG534">
        <f>ROUND((108/100)*ROUND([1]Source!CS328*[1]Source!I328, 2), 2)</f>
        <v>0</v>
      </c>
    </row>
    <row r="535" spans="1:33" x14ac:dyDescent="0.2">
      <c r="C535" s="40" t="str">
        <f>"Объем: "&amp;[1]Source!I328&amp;"=124,8/"&amp;"100"</f>
        <v>Объем: 1,248=124,8/100</v>
      </c>
      <c r="M535"/>
      <c r="N535"/>
      <c r="O535"/>
      <c r="P535"/>
      <c r="Q535"/>
    </row>
    <row r="536" spans="1:33" ht="14.25" x14ac:dyDescent="0.2">
      <c r="A536" s="31"/>
      <c r="B536" s="31"/>
      <c r="C536" s="31" t="s">
        <v>34</v>
      </c>
      <c r="D536" s="32"/>
      <c r="E536" s="4"/>
      <c r="F536" s="33">
        <f>[1]Source!AO328</f>
        <v>597.51</v>
      </c>
      <c r="G536" s="34" t="str">
        <f>[1]Source!DG328</f>
        <v>)*2*168</v>
      </c>
      <c r="H536" s="4">
        <f>[1]Source!AV328</f>
        <v>1</v>
      </c>
      <c r="I536" s="4">
        <f>IF([1]Source!BA328&lt;&gt; 0, [1]Source!BA328, 1)</f>
        <v>1</v>
      </c>
      <c r="J536" s="33">
        <f>[1]Source!S328</f>
        <v>250552.67</v>
      </c>
      <c r="K536" s="33"/>
      <c r="M536"/>
      <c r="N536"/>
      <c r="O536"/>
      <c r="P536"/>
      <c r="Q536"/>
    </row>
    <row r="537" spans="1:33" ht="14.25" x14ac:dyDescent="0.2">
      <c r="A537" s="31"/>
      <c r="B537" s="31"/>
      <c r="C537" s="31" t="s">
        <v>40</v>
      </c>
      <c r="D537" s="32" t="s">
        <v>39</v>
      </c>
      <c r="E537" s="4">
        <f>[1]Source!AT328</f>
        <v>70</v>
      </c>
      <c r="F537" s="33"/>
      <c r="G537" s="34"/>
      <c r="H537" s="4"/>
      <c r="I537" s="4"/>
      <c r="J537" s="33">
        <f>SUM(AC534:AC536)</f>
        <v>175386.87</v>
      </c>
      <c r="K537" s="33"/>
      <c r="M537"/>
      <c r="N537"/>
      <c r="O537"/>
      <c r="P537"/>
      <c r="Q537"/>
    </row>
    <row r="538" spans="1:33" ht="14.25" x14ac:dyDescent="0.2">
      <c r="A538" s="31"/>
      <c r="B538" s="31"/>
      <c r="C538" s="31" t="s">
        <v>41</v>
      </c>
      <c r="D538" s="32" t="s">
        <v>39</v>
      </c>
      <c r="E538" s="4">
        <f>[1]Source!AU328</f>
        <v>10</v>
      </c>
      <c r="F538" s="33"/>
      <c r="G538" s="34"/>
      <c r="H538" s="4"/>
      <c r="I538" s="4"/>
      <c r="J538" s="33">
        <f>SUM(AE534:AE537)</f>
        <v>25055.27</v>
      </c>
      <c r="K538" s="33"/>
      <c r="M538"/>
      <c r="N538"/>
      <c r="O538"/>
      <c r="P538"/>
      <c r="Q538"/>
    </row>
    <row r="539" spans="1:33" ht="14.25" x14ac:dyDescent="0.2">
      <c r="A539" s="31"/>
      <c r="B539" s="31"/>
      <c r="C539" s="31" t="s">
        <v>42</v>
      </c>
      <c r="D539" s="32" t="s">
        <v>43</v>
      </c>
      <c r="E539" s="4">
        <f>[1]Source!AQ328</f>
        <v>2.41</v>
      </c>
      <c r="F539" s="33"/>
      <c r="G539" s="34" t="str">
        <f>[1]Source!DI328</f>
        <v>)*2*168</v>
      </c>
      <c r="H539" s="4">
        <f>[1]Source!AV328</f>
        <v>1</v>
      </c>
      <c r="I539" s="4"/>
      <c r="J539" s="33"/>
      <c r="K539" s="33">
        <f>[1]Source!U328</f>
        <v>1010.58048</v>
      </c>
      <c r="M539"/>
      <c r="N539"/>
      <c r="O539"/>
      <c r="P539"/>
      <c r="Q539"/>
    </row>
    <row r="540" spans="1:33" ht="15" x14ac:dyDescent="0.25">
      <c r="A540" s="35"/>
      <c r="B540" s="35"/>
      <c r="C540" s="35"/>
      <c r="D540" s="35"/>
      <c r="E540" s="35"/>
      <c r="F540" s="35"/>
      <c r="G540" s="35"/>
      <c r="H540" s="35"/>
      <c r="I540" s="36">
        <f>J536+J537+J538</f>
        <v>450994.81000000006</v>
      </c>
      <c r="J540" s="36"/>
      <c r="K540" s="37">
        <f>IF([1]Source!I328&lt;&gt;0, ROUND(I540/[1]Source!I328, 2), 0)</f>
        <v>361374.05</v>
      </c>
      <c r="M540"/>
      <c r="N540"/>
      <c r="O540"/>
      <c r="P540"/>
      <c r="Q540"/>
      <c r="AA540" s="38">
        <f>I540</f>
        <v>450994.81000000006</v>
      </c>
    </row>
    <row r="541" spans="1:33" ht="28.5" x14ac:dyDescent="0.2">
      <c r="A541" s="31">
        <v>78</v>
      </c>
      <c r="B541" s="31" t="str">
        <f>[1]Source!F329</f>
        <v>калькуляция</v>
      </c>
      <c r="C541" s="31" t="str">
        <f>[1]Source!G329</f>
        <v>Посыпка гранитной крошкой  дорожных покрытий вручную( 100г/м2 )</v>
      </c>
      <c r="D541" s="32" t="str">
        <f>[1]Source!H329</f>
        <v>м2</v>
      </c>
      <c r="E541" s="4">
        <f>[1]Source!I329</f>
        <v>1040</v>
      </c>
      <c r="F541" s="33"/>
      <c r="G541" s="34"/>
      <c r="H541" s="4"/>
      <c r="I541" s="4"/>
      <c r="J541" s="33"/>
      <c r="K541" s="33"/>
      <c r="M541"/>
      <c r="N541"/>
      <c r="O541"/>
      <c r="P541"/>
      <c r="Q541"/>
      <c r="AB541">
        <f>ROUND(([1]Source!BZ329/100)*ROUND(([1]Source!AF329*[1]Source!AV329)*[1]Source!I329, 2), 2)</f>
        <v>0</v>
      </c>
      <c r="AC541">
        <f>[1]Source!X329</f>
        <v>0</v>
      </c>
      <c r="AD541">
        <f>ROUND(([1]Source!CA329/100)*ROUND(([1]Source!AF329*[1]Source!AV329)*[1]Source!I329, 2), 2)</f>
        <v>0</v>
      </c>
      <c r="AE541">
        <f>[1]Source!Y329</f>
        <v>0</v>
      </c>
      <c r="AF541">
        <f>ROUND((175/100)*ROUND(([1]Source!AE329*[1]Source!AV329)*[1]Source!I329, 2), 2)</f>
        <v>0</v>
      </c>
      <c r="AG541">
        <f>ROUND((108/100)*ROUND([1]Source!CS329*[1]Source!I329, 2), 2)</f>
        <v>0</v>
      </c>
    </row>
    <row r="542" spans="1:33" ht="14.25" x14ac:dyDescent="0.2">
      <c r="A542" s="31"/>
      <c r="B542" s="31"/>
      <c r="C542" s="31" t="s">
        <v>34</v>
      </c>
      <c r="D542" s="32"/>
      <c r="E542" s="4"/>
      <c r="F542" s="33">
        <f>[1]Source!AO329</f>
        <v>2.08</v>
      </c>
      <c r="G542" s="34" t="str">
        <f>[1]Source!DG329</f>
        <v>)*4*168</v>
      </c>
      <c r="H542" s="4">
        <f>[1]Source!AV329</f>
        <v>1</v>
      </c>
      <c r="I542" s="4">
        <f>IF([1]Source!BA329&lt;&gt; 0, [1]Source!BA329, 1)</f>
        <v>1</v>
      </c>
      <c r="J542" s="33">
        <f>[1]Source!S329</f>
        <v>1453670.3999999999</v>
      </c>
      <c r="K542" s="33"/>
      <c r="M542"/>
      <c r="N542"/>
      <c r="O542"/>
      <c r="P542"/>
      <c r="Q542"/>
    </row>
    <row r="543" spans="1:33" ht="14.25" x14ac:dyDescent="0.2">
      <c r="A543" s="31" t="s">
        <v>60</v>
      </c>
      <c r="B543" s="31" t="str">
        <f>[1]Source!F330</f>
        <v>цена поставщика</v>
      </c>
      <c r="C543" s="31" t="str">
        <f>[1]Source!G330</f>
        <v>Крошка гранитная</v>
      </c>
      <c r="D543" s="32" t="str">
        <f>[1]Source!H330</f>
        <v>кг</v>
      </c>
      <c r="E543" s="4">
        <f>[1]Source!I330</f>
        <v>69888</v>
      </c>
      <c r="F543" s="33">
        <f>[1]Source!AK330</f>
        <v>4.43</v>
      </c>
      <c r="G543" s="39" t="s">
        <v>45</v>
      </c>
      <c r="H543" s="4">
        <f>[1]Source!AW330</f>
        <v>1</v>
      </c>
      <c r="I543" s="4">
        <f>IF([1]Source!BC330&lt;&gt; 0, [1]Source!BC330, 1)</f>
        <v>1</v>
      </c>
      <c r="J543" s="33">
        <f>[1]Source!O330</f>
        <v>309603.84000000003</v>
      </c>
      <c r="K543" s="33"/>
      <c r="M543"/>
      <c r="N543"/>
      <c r="O543"/>
      <c r="P543"/>
      <c r="Q543"/>
      <c r="AB543">
        <f>ROUND(([1]Source!BZ330/100)*ROUND(([1]Source!AF330*[1]Source!AV330)*[1]Source!I330, 2), 2)</f>
        <v>0</v>
      </c>
      <c r="AC543">
        <f>[1]Source!X330</f>
        <v>0</v>
      </c>
      <c r="AD543">
        <f>ROUND(([1]Source!CA330/100)*ROUND(([1]Source!AF330*[1]Source!AV330)*[1]Source!I330, 2), 2)</f>
        <v>0</v>
      </c>
      <c r="AE543">
        <f>[1]Source!Y330</f>
        <v>0</v>
      </c>
      <c r="AF543">
        <f>ROUND((175/100)*ROUND(([1]Source!AE330*[1]Source!AV330)*[1]Source!I330, 2), 2)</f>
        <v>0</v>
      </c>
      <c r="AG543">
        <f>ROUND((108/100)*ROUND([1]Source!CS330*[1]Source!I330, 2), 2)</f>
        <v>0</v>
      </c>
    </row>
    <row r="544" spans="1:33" ht="15" x14ac:dyDescent="0.25">
      <c r="A544" s="35"/>
      <c r="B544" s="35"/>
      <c r="C544" s="35"/>
      <c r="D544" s="35"/>
      <c r="E544" s="35"/>
      <c r="F544" s="35"/>
      <c r="G544" s="35"/>
      <c r="H544" s="35"/>
      <c r="I544" s="36">
        <f>J542+SUM(J543:J543)</f>
        <v>1763274.24</v>
      </c>
      <c r="J544" s="36"/>
      <c r="K544" s="37">
        <f>IF([1]Source!I329&lt;&gt;0, ROUND(I544/[1]Source!I329, 2), 0)</f>
        <v>1695.46</v>
      </c>
      <c r="M544"/>
      <c r="N544"/>
      <c r="O544"/>
      <c r="P544"/>
      <c r="Q544"/>
      <c r="AA544" s="38">
        <f>I544</f>
        <v>1763274.24</v>
      </c>
    </row>
    <row r="545" spans="1:43" ht="28.5" x14ac:dyDescent="0.2">
      <c r="A545" s="31">
        <v>79</v>
      </c>
      <c r="B545" s="31" t="str">
        <f>[1]Source!F331</f>
        <v>5.4-1201-1-1/1</v>
      </c>
      <c r="C545" s="31" t="str">
        <f>[1]Source!G331</f>
        <v>Сбор случайного мусора по территории</v>
      </c>
      <c r="D545" s="32" t="str">
        <f>[1]Source!H331</f>
        <v>100 м2</v>
      </c>
      <c r="E545" s="4">
        <f>[1]Source!I331</f>
        <v>10.4</v>
      </c>
      <c r="F545" s="33"/>
      <c r="G545" s="34"/>
      <c r="H545" s="4"/>
      <c r="I545" s="4"/>
      <c r="J545" s="33"/>
      <c r="K545" s="33"/>
      <c r="M545"/>
      <c r="N545"/>
      <c r="O545"/>
      <c r="P545"/>
      <c r="Q545"/>
      <c r="AB545">
        <f>ROUND(([1]Source!BZ331/100)*ROUND(([1]Source!AF331*[1]Source!AV331)*[1]Source!I331, 2), 2)</f>
        <v>119881.22</v>
      </c>
      <c r="AC545">
        <f>[1]Source!X331</f>
        <v>119881.22</v>
      </c>
      <c r="AD545">
        <f>ROUND(([1]Source!CA331/100)*ROUND(([1]Source!AF331*[1]Source!AV331)*[1]Source!I331, 2), 2)</f>
        <v>17125.89</v>
      </c>
      <c r="AE545">
        <f>[1]Source!Y331</f>
        <v>17125.89</v>
      </c>
      <c r="AF545">
        <f>ROUND((175/100)*ROUND(([1]Source!AE331*[1]Source!AV331)*[1]Source!I331, 2), 2)</f>
        <v>0</v>
      </c>
      <c r="AG545">
        <f>ROUND((108/100)*ROUND([1]Source!CS331*[1]Source!I331, 2), 2)</f>
        <v>0</v>
      </c>
    </row>
    <row r="546" spans="1:43" x14ac:dyDescent="0.2">
      <c r="C546" s="40" t="str">
        <f>"Объем: "&amp;[1]Source!I331&amp;"=1040/"&amp;"100"</f>
        <v>Объем: 10,4=1040/100</v>
      </c>
      <c r="M546"/>
      <c r="N546"/>
      <c r="O546"/>
      <c r="P546"/>
      <c r="Q546"/>
    </row>
    <row r="547" spans="1:43" ht="14.25" x14ac:dyDescent="0.2">
      <c r="A547" s="31"/>
      <c r="B547" s="31"/>
      <c r="C547" s="31" t="s">
        <v>34</v>
      </c>
      <c r="D547" s="32"/>
      <c r="E547" s="4"/>
      <c r="F547" s="33">
        <f>[1]Source!AO331</f>
        <v>12.4</v>
      </c>
      <c r="G547" s="34" t="str">
        <f>[1]Source!DG331</f>
        <v>)*4*332</v>
      </c>
      <c r="H547" s="4">
        <f>[1]Source!AV331</f>
        <v>1</v>
      </c>
      <c r="I547" s="4">
        <f>IF([1]Source!BA331&lt;&gt; 0, [1]Source!BA331, 1)</f>
        <v>1</v>
      </c>
      <c r="J547" s="33">
        <f>[1]Source!S331</f>
        <v>171258.88</v>
      </c>
      <c r="K547" s="33"/>
      <c r="M547"/>
      <c r="N547"/>
      <c r="O547"/>
      <c r="P547"/>
      <c r="Q547"/>
    </row>
    <row r="548" spans="1:43" ht="14.25" x14ac:dyDescent="0.2">
      <c r="A548" s="31"/>
      <c r="B548" s="31"/>
      <c r="C548" s="31" t="s">
        <v>47</v>
      </c>
      <c r="D548" s="32"/>
      <c r="E548" s="4"/>
      <c r="F548" s="33">
        <f>[1]Source!AL331</f>
        <v>0.69</v>
      </c>
      <c r="G548" s="34" t="str">
        <f>[1]Source!DD331</f>
        <v>)*4*332</v>
      </c>
      <c r="H548" s="4">
        <f>[1]Source!AW331</f>
        <v>1</v>
      </c>
      <c r="I548" s="4">
        <f>IF([1]Source!BC331&lt;&gt; 0, [1]Source!BC331, 1)</f>
        <v>1</v>
      </c>
      <c r="J548" s="33">
        <f>[1]Source!P331</f>
        <v>9529.73</v>
      </c>
      <c r="K548" s="33"/>
      <c r="M548"/>
      <c r="N548"/>
      <c r="O548"/>
      <c r="P548"/>
      <c r="Q548"/>
    </row>
    <row r="549" spans="1:43" ht="14.25" x14ac:dyDescent="0.2">
      <c r="A549" s="31"/>
      <c r="B549" s="31"/>
      <c r="C549" s="31" t="s">
        <v>40</v>
      </c>
      <c r="D549" s="32" t="s">
        <v>39</v>
      </c>
      <c r="E549" s="4">
        <f>[1]Source!AT331</f>
        <v>70</v>
      </c>
      <c r="F549" s="33"/>
      <c r="G549" s="34"/>
      <c r="H549" s="4"/>
      <c r="I549" s="4"/>
      <c r="J549" s="33">
        <f>SUM(AC545:AC548)</f>
        <v>119881.22</v>
      </c>
      <c r="K549" s="33"/>
      <c r="M549"/>
      <c r="N549"/>
      <c r="O549"/>
      <c r="P549"/>
      <c r="Q549"/>
    </row>
    <row r="550" spans="1:43" ht="14.25" x14ac:dyDescent="0.2">
      <c r="A550" s="31"/>
      <c r="B550" s="31"/>
      <c r="C550" s="31" t="s">
        <v>41</v>
      </c>
      <c r="D550" s="32" t="s">
        <v>39</v>
      </c>
      <c r="E550" s="4">
        <f>[1]Source!AU331</f>
        <v>10</v>
      </c>
      <c r="F550" s="33"/>
      <c r="G550" s="34"/>
      <c r="H550" s="4"/>
      <c r="I550" s="4"/>
      <c r="J550" s="33">
        <f>SUM(AE545:AE549)</f>
        <v>17125.89</v>
      </c>
      <c r="K550" s="33"/>
      <c r="M550"/>
      <c r="N550"/>
      <c r="O550"/>
      <c r="P550"/>
      <c r="Q550"/>
    </row>
    <row r="551" spans="1:43" ht="14.25" x14ac:dyDescent="0.2">
      <c r="A551" s="31"/>
      <c r="B551" s="31"/>
      <c r="C551" s="31" t="s">
        <v>42</v>
      </c>
      <c r="D551" s="32" t="s">
        <v>43</v>
      </c>
      <c r="E551" s="4">
        <f>[1]Source!AQ331</f>
        <v>0.05</v>
      </c>
      <c r="F551" s="33"/>
      <c r="G551" s="34" t="str">
        <f>[1]Source!DI331</f>
        <v>)*4*332</v>
      </c>
      <c r="H551" s="4">
        <f>[1]Source!AV331</f>
        <v>1</v>
      </c>
      <c r="I551" s="4"/>
      <c r="J551" s="33"/>
      <c r="K551" s="33">
        <f>[1]Source!U331</f>
        <v>690.56000000000006</v>
      </c>
      <c r="M551"/>
      <c r="N551"/>
      <c r="O551"/>
      <c r="P551"/>
      <c r="Q551"/>
    </row>
    <row r="552" spans="1:43" ht="15" x14ac:dyDescent="0.25">
      <c r="A552" s="35"/>
      <c r="B552" s="35"/>
      <c r="C552" s="35"/>
      <c r="D552" s="35"/>
      <c r="E552" s="35"/>
      <c r="F552" s="35"/>
      <c r="G552" s="35"/>
      <c r="H552" s="35"/>
      <c r="I552" s="36">
        <f>J547+J548+J549+J550</f>
        <v>317795.72000000003</v>
      </c>
      <c r="J552" s="36"/>
      <c r="K552" s="37">
        <f>IF([1]Source!I331&lt;&gt;0, ROUND(I552/[1]Source!I331, 2), 0)</f>
        <v>30557.279999999999</v>
      </c>
      <c r="M552"/>
      <c r="N552"/>
      <c r="O552"/>
      <c r="P552"/>
      <c r="Q552"/>
      <c r="AA552" s="38">
        <f>I552</f>
        <v>317795.72000000003</v>
      </c>
    </row>
    <row r="553" spans="1:43" x14ac:dyDescent="0.2">
      <c r="M553"/>
      <c r="N553"/>
      <c r="O553"/>
      <c r="P553"/>
      <c r="Q553"/>
    </row>
    <row r="554" spans="1:43" ht="30" x14ac:dyDescent="0.25">
      <c r="A554" s="42" t="str">
        <f>CONCATENATE("Итого по разделу: ",IF([1]Source!G333&lt;&gt;"Новый раздел", [1]Source!G333, ""))</f>
        <v>Итого по разделу: Содержание садово-парковых дорожных покрытий с мощением парковым, пешеходным с разным уровнем уклона поверхности ( S=1040 м2 ) .</v>
      </c>
      <c r="B554" s="42"/>
      <c r="C554" s="42"/>
      <c r="D554" s="42"/>
      <c r="E554" s="42"/>
      <c r="F554" s="42"/>
      <c r="G554" s="42"/>
      <c r="H554" s="42"/>
      <c r="I554" s="43">
        <f>SUM(AA492:AA553)</f>
        <v>5045280.88</v>
      </c>
      <c r="J554" s="44"/>
      <c r="K554" s="47"/>
      <c r="L554" s="38">
        <f>I554</f>
        <v>5045280.88</v>
      </c>
      <c r="M554" s="2">
        <f>ROUND(I554*$I$4874,2)</f>
        <v>3643736.4</v>
      </c>
      <c r="N554" s="2">
        <f>ROUND(M554*1.2/105*100,2)</f>
        <v>4164270.17</v>
      </c>
      <c r="O554" s="2">
        <f>ROUND(N554*0.05,2)</f>
        <v>208213.51</v>
      </c>
      <c r="P554" s="2">
        <f>N554+O554</f>
        <v>4372483.68</v>
      </c>
      <c r="Q554" s="3">
        <v>19</v>
      </c>
      <c r="R554">
        <v>2</v>
      </c>
      <c r="S554" s="2">
        <v>801733.83</v>
      </c>
      <c r="AQ554" s="46" t="str">
        <f>CONCATENATE("Итого по разделу: ",IF([1]Source!G333&lt;&gt;"Новый раздел", [1]Source!G333, ""))</f>
        <v>Итого по разделу: Содержание садово-парковых дорожных покрытий с мощением парковым, пешеходным с разным уровнем уклона поверхности ( S=1040 м2 ) .</v>
      </c>
    </row>
    <row r="555" spans="1:43" x14ac:dyDescent="0.2">
      <c r="M555"/>
      <c r="N555"/>
      <c r="O555"/>
      <c r="P555"/>
      <c r="Q555"/>
    </row>
    <row r="556" spans="1:43" x14ac:dyDescent="0.2">
      <c r="M556"/>
      <c r="N556"/>
      <c r="O556"/>
      <c r="P556"/>
      <c r="Q556"/>
    </row>
    <row r="557" spans="1:43" ht="16.5" x14ac:dyDescent="0.25">
      <c r="A557" s="29" t="str">
        <f>CONCATENATE("Раздел: ",IF([1]Source!G363&lt;&gt;"Новый раздел", [1]Source!G363, ""))</f>
        <v>Раздел: Содержание садово-парковых дорожек с покрытием из гравийной крошки + вокруг МАФ ( S= 3676,88 м2).</v>
      </c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M557"/>
      <c r="N557"/>
      <c r="O557"/>
      <c r="P557"/>
      <c r="Q557"/>
      <c r="AP557" s="30" t="str">
        <f>CONCATENATE("Раздел: ",IF([1]Source!G363&lt;&gt;"Новый раздел", [1]Source!G363, ""))</f>
        <v>Раздел: Содержание садово-парковых дорожек с покрытием из гравийной крошки + вокруг МАФ ( S= 3676,88 м2).</v>
      </c>
    </row>
    <row r="558" spans="1:43" ht="28.5" x14ac:dyDescent="0.2">
      <c r="A558" s="31">
        <v>80</v>
      </c>
      <c r="B558" s="31" t="str">
        <f>[1]Source!F367</f>
        <v>калькуляция</v>
      </c>
      <c r="C558" s="31" t="str">
        <f>[1]Source!G367</f>
        <v>Подметание дорожек  вручную ( S=3676,88 м2)</v>
      </c>
      <c r="D558" s="32" t="str">
        <f>[1]Source!H367</f>
        <v>м2</v>
      </c>
      <c r="E558" s="4">
        <f>[1]Source!I367</f>
        <v>3676.88</v>
      </c>
      <c r="F558" s="33"/>
      <c r="G558" s="34"/>
      <c r="H558" s="4"/>
      <c r="I558" s="4"/>
      <c r="J558" s="33"/>
      <c r="K558" s="33"/>
      <c r="M558"/>
      <c r="N558"/>
      <c r="O558"/>
      <c r="P558"/>
      <c r="Q558"/>
      <c r="AB558">
        <f>ROUND(([1]Source!BZ367/100)*ROUND(([1]Source!AF367*[1]Source!AV367)*[1]Source!I367, 2), 2)</f>
        <v>0</v>
      </c>
      <c r="AC558">
        <f>[1]Source!X367</f>
        <v>0</v>
      </c>
      <c r="AD558">
        <f>ROUND(([1]Source!CA367/100)*ROUND(([1]Source!AF367*[1]Source!AV367)*[1]Source!I367, 2), 2)</f>
        <v>0</v>
      </c>
      <c r="AE558">
        <f>[1]Source!Y367</f>
        <v>0</v>
      </c>
      <c r="AF558">
        <f>ROUND((175/100)*ROUND(([1]Source!AE367*[1]Source!AV367)*[1]Source!I367, 2), 2)</f>
        <v>0</v>
      </c>
      <c r="AG558">
        <f>ROUND((108/100)*ROUND([1]Source!CS367*[1]Source!I367, 2), 2)</f>
        <v>0</v>
      </c>
    </row>
    <row r="559" spans="1:43" ht="14.25" x14ac:dyDescent="0.2">
      <c r="A559" s="31"/>
      <c r="B559" s="31"/>
      <c r="C559" s="31" t="s">
        <v>34</v>
      </c>
      <c r="D559" s="32"/>
      <c r="E559" s="4"/>
      <c r="F559" s="33">
        <f>[1]Source!AO367</f>
        <v>1.32</v>
      </c>
      <c r="G559" s="34" t="str">
        <f>[1]Source!DG367</f>
        <v>)*4*164</v>
      </c>
      <c r="H559" s="4">
        <f>[1]Source!AV367</f>
        <v>1</v>
      </c>
      <c r="I559" s="4">
        <f>IF([1]Source!BA367&lt;&gt; 0, [1]Source!BA367, 1)</f>
        <v>1</v>
      </c>
      <c r="J559" s="33">
        <f>[1]Source!S367</f>
        <v>3183883.93</v>
      </c>
      <c r="K559" s="33"/>
      <c r="M559"/>
      <c r="N559"/>
      <c r="O559"/>
      <c r="P559"/>
      <c r="Q559"/>
    </row>
    <row r="560" spans="1:43" ht="15" x14ac:dyDescent="0.25">
      <c r="A560" s="35"/>
      <c r="B560" s="35"/>
      <c r="C560" s="35"/>
      <c r="D560" s="35"/>
      <c r="E560" s="35"/>
      <c r="F560" s="35"/>
      <c r="G560" s="35"/>
      <c r="H560" s="35"/>
      <c r="I560" s="36">
        <f>J559</f>
        <v>3183883.93</v>
      </c>
      <c r="J560" s="36"/>
      <c r="K560" s="37">
        <f>IF([1]Source!I367&lt;&gt;0, ROUND(I560/[1]Source!I367, 2), 0)</f>
        <v>865.92</v>
      </c>
      <c r="M560"/>
      <c r="N560"/>
      <c r="O560"/>
      <c r="P560"/>
      <c r="Q560"/>
      <c r="AA560" s="38">
        <f>I560</f>
        <v>3183883.93</v>
      </c>
    </row>
    <row r="561" spans="1:33" ht="42.75" x14ac:dyDescent="0.2">
      <c r="A561" s="31">
        <v>81</v>
      </c>
      <c r="B561" s="31" t="str">
        <f>[1]Source!F368</f>
        <v>5.3-1102-8-1/1</v>
      </c>
      <c r="C561" s="31" t="str">
        <f>[1]Source!G368</f>
        <v>Уборка свежевыпавшего снега вручную толщиной слоя до 10 см ( S = 3676,88 м2* 0,8*0,7*0,5 =1029,53 м2)</v>
      </c>
      <c r="D561" s="32" t="str">
        <f>[1]Source!H368</f>
        <v>100 м2</v>
      </c>
      <c r="E561" s="4">
        <f>[1]Source!I368</f>
        <v>10.295299999999999</v>
      </c>
      <c r="F561" s="33"/>
      <c r="G561" s="34"/>
      <c r="H561" s="4"/>
      <c r="I561" s="4"/>
      <c r="J561" s="33"/>
      <c r="K561" s="33"/>
      <c r="M561"/>
      <c r="N561"/>
      <c r="O561"/>
      <c r="P561"/>
      <c r="Q561"/>
      <c r="AB561">
        <f>ROUND(([1]Source!BZ368/100)*ROUND(([1]Source!AF368*[1]Source!AV368)*[1]Source!I368, 2), 2)</f>
        <v>780434.8</v>
      </c>
      <c r="AC561">
        <f>[1]Source!X368</f>
        <v>780434.8</v>
      </c>
      <c r="AD561">
        <f>ROUND(([1]Source!CA368/100)*ROUND(([1]Source!AF368*[1]Source!AV368)*[1]Source!I368, 2), 2)</f>
        <v>111490.69</v>
      </c>
      <c r="AE561">
        <f>[1]Source!Y368</f>
        <v>111490.69</v>
      </c>
      <c r="AF561">
        <f>ROUND((175/100)*ROUND(([1]Source!AE368*[1]Source!AV368)*[1]Source!I368, 2), 2)</f>
        <v>0</v>
      </c>
      <c r="AG561">
        <f>ROUND((108/100)*ROUND([1]Source!CS368*[1]Source!I368, 2), 2)</f>
        <v>0</v>
      </c>
    </row>
    <row r="562" spans="1:33" x14ac:dyDescent="0.2">
      <c r="C562" s="40" t="str">
        <f>"Объем: "&amp;[1]Source!I368&amp;"=1029,53/"&amp;"100"</f>
        <v>Объем: 10,2953=1029,53/100</v>
      </c>
      <c r="M562"/>
      <c r="N562"/>
      <c r="O562"/>
      <c r="P562"/>
      <c r="Q562"/>
    </row>
    <row r="563" spans="1:33" ht="14.25" x14ac:dyDescent="0.2">
      <c r="A563" s="31"/>
      <c r="B563" s="31"/>
      <c r="C563" s="31" t="s">
        <v>34</v>
      </c>
      <c r="D563" s="32"/>
      <c r="E563" s="4"/>
      <c r="F563" s="33">
        <f>[1]Source!AO368</f>
        <v>161.15</v>
      </c>
      <c r="G563" s="34" t="str">
        <f>[1]Source!DG368</f>
        <v>)*4*168</v>
      </c>
      <c r="H563" s="4">
        <f>[1]Source!AV368</f>
        <v>1</v>
      </c>
      <c r="I563" s="4">
        <f>IF([1]Source!BA368&lt;&gt; 0, [1]Source!BA368, 1)</f>
        <v>1</v>
      </c>
      <c r="J563" s="33">
        <f>[1]Source!S368</f>
        <v>1114906.8600000001</v>
      </c>
      <c r="K563" s="33"/>
      <c r="M563"/>
      <c r="N563"/>
      <c r="O563"/>
      <c r="P563"/>
      <c r="Q563"/>
    </row>
    <row r="564" spans="1:33" ht="14.25" x14ac:dyDescent="0.2">
      <c r="A564" s="31"/>
      <c r="B564" s="31"/>
      <c r="C564" s="31" t="s">
        <v>40</v>
      </c>
      <c r="D564" s="32" t="s">
        <v>39</v>
      </c>
      <c r="E564" s="4">
        <f>[1]Source!AT368</f>
        <v>70</v>
      </c>
      <c r="F564" s="33"/>
      <c r="G564" s="34"/>
      <c r="H564" s="4"/>
      <c r="I564" s="4"/>
      <c r="J564" s="33">
        <f>SUM(AC561:AC563)</f>
        <v>780434.8</v>
      </c>
      <c r="K564" s="33"/>
      <c r="M564"/>
      <c r="N564"/>
      <c r="O564"/>
      <c r="P564"/>
      <c r="Q564"/>
    </row>
    <row r="565" spans="1:33" ht="14.25" x14ac:dyDescent="0.2">
      <c r="A565" s="31"/>
      <c r="B565" s="31"/>
      <c r="C565" s="31" t="s">
        <v>41</v>
      </c>
      <c r="D565" s="32" t="s">
        <v>39</v>
      </c>
      <c r="E565" s="4">
        <f>[1]Source!AU368</f>
        <v>10</v>
      </c>
      <c r="F565" s="33"/>
      <c r="G565" s="34"/>
      <c r="H565" s="4"/>
      <c r="I565" s="4"/>
      <c r="J565" s="33">
        <f>SUM(AE561:AE564)</f>
        <v>111490.69</v>
      </c>
      <c r="K565" s="33"/>
      <c r="M565"/>
      <c r="N565"/>
      <c r="O565"/>
      <c r="P565"/>
      <c r="Q565"/>
    </row>
    <row r="566" spans="1:33" ht="14.25" x14ac:dyDescent="0.2">
      <c r="A566" s="31"/>
      <c r="B566" s="31"/>
      <c r="C566" s="31" t="s">
        <v>42</v>
      </c>
      <c r="D566" s="32" t="s">
        <v>43</v>
      </c>
      <c r="E566" s="4">
        <f>[1]Source!AQ368</f>
        <v>0.65</v>
      </c>
      <c r="F566" s="33"/>
      <c r="G566" s="34" t="str">
        <f>[1]Source!DI368</f>
        <v>)*4*168</v>
      </c>
      <c r="H566" s="4">
        <f>[1]Source!AV368</f>
        <v>1</v>
      </c>
      <c r="I566" s="4"/>
      <c r="J566" s="33"/>
      <c r="K566" s="33">
        <f>[1]Source!U368</f>
        <v>4496.98704</v>
      </c>
      <c r="M566"/>
      <c r="N566"/>
      <c r="O566"/>
      <c r="P566"/>
      <c r="Q566"/>
    </row>
    <row r="567" spans="1:33" ht="15" x14ac:dyDescent="0.25">
      <c r="A567" s="35"/>
      <c r="B567" s="35"/>
      <c r="C567" s="35"/>
      <c r="D567" s="35"/>
      <c r="E567" s="35"/>
      <c r="F567" s="35"/>
      <c r="G567" s="35"/>
      <c r="H567" s="35"/>
      <c r="I567" s="36">
        <f>J563+J564+J565</f>
        <v>2006832.35</v>
      </c>
      <c r="J567" s="36"/>
      <c r="K567" s="37">
        <f>IF([1]Source!I368&lt;&gt;0, ROUND(I567/[1]Source!I368, 2), 0)</f>
        <v>194927.04</v>
      </c>
      <c r="M567"/>
      <c r="N567"/>
      <c r="O567"/>
      <c r="P567"/>
      <c r="Q567"/>
      <c r="AA567" s="38">
        <f>I567</f>
        <v>2006832.35</v>
      </c>
    </row>
    <row r="568" spans="1:33" ht="28.5" x14ac:dyDescent="0.2">
      <c r="A568" s="31">
        <v>82</v>
      </c>
      <c r="B568" s="31" t="str">
        <f>[1]Source!F369</f>
        <v>5.3-1102-8-3/1</v>
      </c>
      <c r="C568" s="31" t="str">
        <f>[1]Source!G369</f>
        <v>Уборка слежавшегося снега вручную( S=3676,88м2*0,8*0,7*0.5=1029,53м2 )</v>
      </c>
      <c r="D568" s="32" t="str">
        <f>[1]Source!H369</f>
        <v>100 м2</v>
      </c>
      <c r="E568" s="4">
        <f>[1]Source!I369</f>
        <v>10.295299999999999</v>
      </c>
      <c r="F568" s="33"/>
      <c r="G568" s="34"/>
      <c r="H568" s="4"/>
      <c r="I568" s="4"/>
      <c r="J568" s="33"/>
      <c r="K568" s="33"/>
      <c r="M568"/>
      <c r="N568"/>
      <c r="O568"/>
      <c r="P568"/>
      <c r="Q568"/>
      <c r="AB568">
        <f>ROUND(([1]Source!BZ369/100)*ROUND(([1]Source!AF369*[1]Source!AV369)*[1]Source!I369, 2), 2)</f>
        <v>459265.18</v>
      </c>
      <c r="AC568">
        <f>[1]Source!X369</f>
        <v>459265.18</v>
      </c>
      <c r="AD568">
        <f>ROUND(([1]Source!CA369/100)*ROUND(([1]Source!AF369*[1]Source!AV369)*[1]Source!I369, 2), 2)</f>
        <v>65609.31</v>
      </c>
      <c r="AE568">
        <f>[1]Source!Y369</f>
        <v>65609.31</v>
      </c>
      <c r="AF568">
        <f>ROUND((175/100)*ROUND(([1]Source!AE369*[1]Source!AV369)*[1]Source!I369, 2), 2)</f>
        <v>0</v>
      </c>
      <c r="AG568">
        <f>ROUND((108/100)*ROUND([1]Source!CS369*[1]Source!I369, 2), 2)</f>
        <v>0</v>
      </c>
    </row>
    <row r="569" spans="1:33" x14ac:dyDescent="0.2">
      <c r="C569" s="40" t="str">
        <f>"Объем: "&amp;[1]Source!I369&amp;"=1029,53/"&amp;"100"</f>
        <v>Объем: 10,2953=1029,53/100</v>
      </c>
      <c r="M569"/>
      <c r="N569"/>
      <c r="O569"/>
      <c r="P569"/>
      <c r="Q569"/>
    </row>
    <row r="570" spans="1:33" ht="14.25" x14ac:dyDescent="0.2">
      <c r="A570" s="31"/>
      <c r="B570" s="31"/>
      <c r="C570" s="31" t="s">
        <v>34</v>
      </c>
      <c r="D570" s="32"/>
      <c r="E570" s="4"/>
      <c r="F570" s="33">
        <f>[1]Source!AO369</f>
        <v>379.33</v>
      </c>
      <c r="G570" s="34" t="str">
        <f>[1]Source!DG369</f>
        <v>)*1*168</v>
      </c>
      <c r="H570" s="4">
        <f>[1]Source!AV369</f>
        <v>1</v>
      </c>
      <c r="I570" s="4">
        <f>IF([1]Source!BA369&lt;&gt; 0, [1]Source!BA369, 1)</f>
        <v>1</v>
      </c>
      <c r="J570" s="33">
        <f>[1]Source!S369</f>
        <v>656093.11</v>
      </c>
      <c r="K570" s="33"/>
      <c r="M570"/>
      <c r="N570"/>
      <c r="O570"/>
      <c r="P570"/>
      <c r="Q570"/>
    </row>
    <row r="571" spans="1:33" ht="14.25" x14ac:dyDescent="0.2">
      <c r="A571" s="31"/>
      <c r="B571" s="31"/>
      <c r="C571" s="31" t="s">
        <v>40</v>
      </c>
      <c r="D571" s="32" t="s">
        <v>39</v>
      </c>
      <c r="E571" s="4">
        <f>[1]Source!AT369</f>
        <v>70</v>
      </c>
      <c r="F571" s="33"/>
      <c r="G571" s="34"/>
      <c r="H571" s="4"/>
      <c r="I571" s="4"/>
      <c r="J571" s="33">
        <f>SUM(AC568:AC570)</f>
        <v>459265.18</v>
      </c>
      <c r="K571" s="33"/>
      <c r="M571"/>
      <c r="N571"/>
      <c r="O571"/>
      <c r="P571"/>
      <c r="Q571"/>
    </row>
    <row r="572" spans="1:33" ht="14.25" x14ac:dyDescent="0.2">
      <c r="A572" s="31"/>
      <c r="B572" s="31"/>
      <c r="C572" s="31" t="s">
        <v>41</v>
      </c>
      <c r="D572" s="32" t="s">
        <v>39</v>
      </c>
      <c r="E572" s="4">
        <f>[1]Source!AU369</f>
        <v>10</v>
      </c>
      <c r="F572" s="33"/>
      <c r="G572" s="34"/>
      <c r="H572" s="4"/>
      <c r="I572" s="4"/>
      <c r="J572" s="33">
        <f>SUM(AE568:AE571)</f>
        <v>65609.31</v>
      </c>
      <c r="K572" s="33"/>
      <c r="M572"/>
      <c r="N572"/>
      <c r="O572"/>
      <c r="P572"/>
      <c r="Q572"/>
    </row>
    <row r="573" spans="1:33" ht="14.25" x14ac:dyDescent="0.2">
      <c r="A573" s="31"/>
      <c r="B573" s="31"/>
      <c r="C573" s="31" t="s">
        <v>42</v>
      </c>
      <c r="D573" s="32" t="s">
        <v>43</v>
      </c>
      <c r="E573" s="4">
        <f>[1]Source!AQ369</f>
        <v>1.53</v>
      </c>
      <c r="F573" s="33"/>
      <c r="G573" s="34" t="str">
        <f>[1]Source!DI369</f>
        <v>)*1*168</v>
      </c>
      <c r="H573" s="4">
        <f>[1]Source!AV369</f>
        <v>1</v>
      </c>
      <c r="I573" s="4"/>
      <c r="J573" s="33"/>
      <c r="K573" s="33">
        <f>[1]Source!U369</f>
        <v>2646.3039119999999</v>
      </c>
      <c r="M573"/>
      <c r="N573"/>
      <c r="O573"/>
      <c r="P573"/>
      <c r="Q573"/>
    </row>
    <row r="574" spans="1:33" ht="15" x14ac:dyDescent="0.25">
      <c r="A574" s="35"/>
      <c r="B574" s="35"/>
      <c r="C574" s="35"/>
      <c r="D574" s="35"/>
      <c r="E574" s="35"/>
      <c r="F574" s="35"/>
      <c r="G574" s="35"/>
      <c r="H574" s="35"/>
      <c r="I574" s="36">
        <f>J570+J571+J572</f>
        <v>1180967.6000000001</v>
      </c>
      <c r="J574" s="36"/>
      <c r="K574" s="37">
        <f>IF([1]Source!I369&lt;&gt;0, ROUND(I574/[1]Source!I369, 2), 0)</f>
        <v>114709.39</v>
      </c>
      <c r="M574"/>
      <c r="N574"/>
      <c r="O574"/>
      <c r="P574"/>
      <c r="Q574"/>
      <c r="AA574" s="38">
        <f>I574</f>
        <v>1180967.6000000001</v>
      </c>
    </row>
    <row r="575" spans="1:33" ht="42.75" x14ac:dyDescent="0.2">
      <c r="A575" s="31">
        <v>83</v>
      </c>
      <c r="B575" s="31" t="str">
        <f>[1]Source!F370</f>
        <v>5.3-1102-8-1/1</v>
      </c>
      <c r="C575" s="31" t="str">
        <f>[1]Source!G370</f>
        <v>Уборка свежевыпавшего снега вручную толщиной слоя до 10 см ( S = 3676,88 м2* 0,8*0,3 *0,5= 441,23 м2)</v>
      </c>
      <c r="D575" s="32" t="str">
        <f>[1]Source!H370</f>
        <v>100 м2</v>
      </c>
      <c r="E575" s="4">
        <f>[1]Source!I370</f>
        <v>4.4123000000000001</v>
      </c>
      <c r="F575" s="33"/>
      <c r="G575" s="34"/>
      <c r="H575" s="4"/>
      <c r="I575" s="4"/>
      <c r="J575" s="33"/>
      <c r="K575" s="33"/>
      <c r="M575"/>
      <c r="N575"/>
      <c r="O575"/>
      <c r="P575"/>
      <c r="Q575"/>
      <c r="AB575">
        <f>ROUND(([1]Source!BZ370/100)*ROUND(([1]Source!AF370*[1]Source!AV370)*[1]Source!I370, 2), 2)</f>
        <v>334474.21999999997</v>
      </c>
      <c r="AC575">
        <f>[1]Source!X370</f>
        <v>334474.21999999997</v>
      </c>
      <c r="AD575">
        <f>ROUND(([1]Source!CA370/100)*ROUND(([1]Source!AF370*[1]Source!AV370)*[1]Source!I370, 2), 2)</f>
        <v>47782.03</v>
      </c>
      <c r="AE575">
        <f>[1]Source!Y370</f>
        <v>47782.03</v>
      </c>
      <c r="AF575">
        <f>ROUND((175/100)*ROUND(([1]Source!AE370*[1]Source!AV370)*[1]Source!I370, 2), 2)</f>
        <v>0</v>
      </c>
      <c r="AG575">
        <f>ROUND((108/100)*ROUND([1]Source!CS370*[1]Source!I370, 2), 2)</f>
        <v>0</v>
      </c>
    </row>
    <row r="576" spans="1:33" x14ac:dyDescent="0.2">
      <c r="C576" s="40" t="str">
        <f>"Объем: "&amp;[1]Source!I370&amp;"=441,23/"&amp;"100"</f>
        <v>Объем: 4,4123=441,23/100</v>
      </c>
      <c r="M576"/>
      <c r="N576"/>
      <c r="O576"/>
      <c r="P576"/>
      <c r="Q576"/>
    </row>
    <row r="577" spans="1:33" ht="14.25" x14ac:dyDescent="0.2">
      <c r="A577" s="31"/>
      <c r="B577" s="31"/>
      <c r="C577" s="31" t="s">
        <v>34</v>
      </c>
      <c r="D577" s="32"/>
      <c r="E577" s="4"/>
      <c r="F577" s="33">
        <f>[1]Source!AO370</f>
        <v>161.15</v>
      </c>
      <c r="G577" s="34" t="str">
        <f>[1]Source!DG370</f>
        <v>)*4*168</v>
      </c>
      <c r="H577" s="4">
        <f>[1]Source!AV370</f>
        <v>1</v>
      </c>
      <c r="I577" s="4">
        <f>IF([1]Source!BA370&lt;&gt; 0, [1]Source!BA370, 1)</f>
        <v>1</v>
      </c>
      <c r="J577" s="33">
        <f>[1]Source!S370</f>
        <v>477820.32</v>
      </c>
      <c r="K577" s="33"/>
      <c r="M577"/>
      <c r="N577"/>
      <c r="O577"/>
      <c r="P577"/>
      <c r="Q577"/>
    </row>
    <row r="578" spans="1:33" ht="14.25" x14ac:dyDescent="0.2">
      <c r="A578" s="31"/>
      <c r="B578" s="31"/>
      <c r="C578" s="31" t="s">
        <v>40</v>
      </c>
      <c r="D578" s="32" t="s">
        <v>39</v>
      </c>
      <c r="E578" s="4">
        <f>[1]Source!AT370</f>
        <v>70</v>
      </c>
      <c r="F578" s="33"/>
      <c r="G578" s="34"/>
      <c r="H578" s="4"/>
      <c r="I578" s="4"/>
      <c r="J578" s="33">
        <f>SUM(AC575:AC577)</f>
        <v>334474.21999999997</v>
      </c>
      <c r="K578" s="33"/>
      <c r="M578"/>
      <c r="N578"/>
      <c r="O578"/>
      <c r="P578"/>
      <c r="Q578"/>
    </row>
    <row r="579" spans="1:33" ht="14.25" x14ac:dyDescent="0.2">
      <c r="A579" s="31"/>
      <c r="B579" s="31"/>
      <c r="C579" s="31" t="s">
        <v>41</v>
      </c>
      <c r="D579" s="32" t="s">
        <v>39</v>
      </c>
      <c r="E579" s="4">
        <f>[1]Source!AU370</f>
        <v>10</v>
      </c>
      <c r="F579" s="33"/>
      <c r="G579" s="34"/>
      <c r="H579" s="4"/>
      <c r="I579" s="4"/>
      <c r="J579" s="33">
        <f>SUM(AE575:AE578)</f>
        <v>47782.03</v>
      </c>
      <c r="K579" s="33"/>
      <c r="M579"/>
      <c r="N579"/>
      <c r="O579"/>
      <c r="P579"/>
      <c r="Q579"/>
    </row>
    <row r="580" spans="1:33" ht="14.25" x14ac:dyDescent="0.2">
      <c r="A580" s="31"/>
      <c r="B580" s="31"/>
      <c r="C580" s="31" t="s">
        <v>42</v>
      </c>
      <c r="D580" s="32" t="s">
        <v>43</v>
      </c>
      <c r="E580" s="4">
        <f>[1]Source!AQ370</f>
        <v>0.65</v>
      </c>
      <c r="F580" s="33"/>
      <c r="G580" s="34" t="str">
        <f>[1]Source!DI370</f>
        <v>)*4*168</v>
      </c>
      <c r="H580" s="4">
        <f>[1]Source!AV370</f>
        <v>1</v>
      </c>
      <c r="I580" s="4"/>
      <c r="J580" s="33"/>
      <c r="K580" s="33">
        <f>[1]Source!U370</f>
        <v>1927.2926400000001</v>
      </c>
      <c r="M580"/>
      <c r="N580"/>
      <c r="O580"/>
      <c r="P580"/>
      <c r="Q580"/>
    </row>
    <row r="581" spans="1:33" ht="15" x14ac:dyDescent="0.25">
      <c r="A581" s="35"/>
      <c r="B581" s="35"/>
      <c r="C581" s="35"/>
      <c r="D581" s="35"/>
      <c r="E581" s="35"/>
      <c r="F581" s="35"/>
      <c r="G581" s="35"/>
      <c r="H581" s="35"/>
      <c r="I581" s="36">
        <f>J577+J578+J579</f>
        <v>860076.57000000007</v>
      </c>
      <c r="J581" s="36"/>
      <c r="K581" s="37">
        <f>IF([1]Source!I370&lt;&gt;0, ROUND(I581/[1]Source!I370, 2), 0)</f>
        <v>194927.04</v>
      </c>
      <c r="M581"/>
      <c r="N581"/>
      <c r="O581"/>
      <c r="P581"/>
      <c r="Q581"/>
      <c r="AA581" s="38">
        <f>I581</f>
        <v>860076.57000000007</v>
      </c>
    </row>
    <row r="582" spans="1:33" ht="57" x14ac:dyDescent="0.2">
      <c r="A582" s="31">
        <v>84</v>
      </c>
      <c r="B582" s="31" t="str">
        <f>[1]Source!F371</f>
        <v>5.3-1102-8-2/1</v>
      </c>
      <c r="C582" s="31" t="str">
        <f>[1]Source!G371</f>
        <v>Уборка свежевыпавшего снега вручную, добавлять на каждые следующие 10 см увеличения толщины слоя</v>
      </c>
      <c r="D582" s="32" t="str">
        <f>[1]Source!H371</f>
        <v>100 м2</v>
      </c>
      <c r="E582" s="4">
        <f>[1]Source!I371</f>
        <v>4.4123000000000001</v>
      </c>
      <c r="F582" s="33"/>
      <c r="G582" s="34"/>
      <c r="H582" s="4"/>
      <c r="I582" s="4"/>
      <c r="J582" s="33"/>
      <c r="K582" s="33"/>
      <c r="M582"/>
      <c r="N582"/>
      <c r="O582"/>
      <c r="P582"/>
      <c r="Q582"/>
      <c r="AB582">
        <f>ROUND(([1]Source!BZ371/100)*ROUND(([1]Source!AF371*[1]Source!AV371)*[1]Source!I371, 2), 2)</f>
        <v>241863.36</v>
      </c>
      <c r="AC582">
        <f>[1]Source!X371</f>
        <v>241863.36</v>
      </c>
      <c r="AD582">
        <f>ROUND(([1]Source!CA371/100)*ROUND(([1]Source!AF371*[1]Source!AV371)*[1]Source!I371, 2), 2)</f>
        <v>34551.910000000003</v>
      </c>
      <c r="AE582">
        <f>[1]Source!Y371</f>
        <v>34551.910000000003</v>
      </c>
      <c r="AF582">
        <f>ROUND((175/100)*ROUND(([1]Source!AE371*[1]Source!AV371)*[1]Source!I371, 2), 2)</f>
        <v>0</v>
      </c>
      <c r="AG582">
        <f>ROUND((108/100)*ROUND([1]Source!CS371*[1]Source!I371, 2), 2)</f>
        <v>0</v>
      </c>
    </row>
    <row r="583" spans="1:33" x14ac:dyDescent="0.2">
      <c r="C583" s="40" t="str">
        <f>"Объем: "&amp;[1]Source!I371&amp;"=441,23/"&amp;"100"</f>
        <v>Объем: 4,4123=441,23/100</v>
      </c>
      <c r="M583"/>
      <c r="N583"/>
      <c r="O583"/>
      <c r="P583"/>
      <c r="Q583"/>
    </row>
    <row r="584" spans="1:33" ht="14.25" x14ac:dyDescent="0.2">
      <c r="A584" s="31"/>
      <c r="B584" s="31"/>
      <c r="C584" s="31" t="s">
        <v>34</v>
      </c>
      <c r="D584" s="32"/>
      <c r="E584" s="4"/>
      <c r="F584" s="33">
        <f>[1]Source!AO371</f>
        <v>116.53</v>
      </c>
      <c r="G584" s="34" t="str">
        <f>[1]Source!DG371</f>
        <v>)*4*168</v>
      </c>
      <c r="H584" s="4">
        <f>[1]Source!AV371</f>
        <v>1</v>
      </c>
      <c r="I584" s="4">
        <f>IF([1]Source!BA371&lt;&gt; 0, [1]Source!BA371, 1)</f>
        <v>1</v>
      </c>
      <c r="J584" s="33">
        <f>[1]Source!S371</f>
        <v>345519.09</v>
      </c>
      <c r="K584" s="33"/>
      <c r="M584"/>
      <c r="N584"/>
      <c r="O584"/>
      <c r="P584"/>
      <c r="Q584"/>
    </row>
    <row r="585" spans="1:33" ht="14.25" x14ac:dyDescent="0.2">
      <c r="A585" s="31"/>
      <c r="B585" s="31"/>
      <c r="C585" s="31" t="s">
        <v>40</v>
      </c>
      <c r="D585" s="32" t="s">
        <v>39</v>
      </c>
      <c r="E585" s="4">
        <f>[1]Source!AT371</f>
        <v>70</v>
      </c>
      <c r="F585" s="33"/>
      <c r="G585" s="34"/>
      <c r="H585" s="4"/>
      <c r="I585" s="4"/>
      <c r="J585" s="33">
        <f>SUM(AC582:AC584)</f>
        <v>241863.36</v>
      </c>
      <c r="K585" s="33"/>
      <c r="M585"/>
      <c r="N585"/>
      <c r="O585"/>
      <c r="P585"/>
      <c r="Q585"/>
    </row>
    <row r="586" spans="1:33" ht="14.25" x14ac:dyDescent="0.2">
      <c r="A586" s="31"/>
      <c r="B586" s="31"/>
      <c r="C586" s="31" t="s">
        <v>41</v>
      </c>
      <c r="D586" s="32" t="s">
        <v>39</v>
      </c>
      <c r="E586" s="4">
        <f>[1]Source!AU371</f>
        <v>10</v>
      </c>
      <c r="F586" s="33"/>
      <c r="G586" s="34"/>
      <c r="H586" s="4"/>
      <c r="I586" s="4"/>
      <c r="J586" s="33">
        <f>SUM(AE582:AE585)</f>
        <v>34551.910000000003</v>
      </c>
      <c r="K586" s="33"/>
      <c r="M586"/>
      <c r="N586"/>
      <c r="O586"/>
      <c r="P586"/>
      <c r="Q586"/>
    </row>
    <row r="587" spans="1:33" ht="14.25" x14ac:dyDescent="0.2">
      <c r="A587" s="31"/>
      <c r="B587" s="31"/>
      <c r="C587" s="31" t="s">
        <v>42</v>
      </c>
      <c r="D587" s="32" t="s">
        <v>43</v>
      </c>
      <c r="E587" s="4">
        <f>[1]Source!AQ371</f>
        <v>0.47</v>
      </c>
      <c r="F587" s="33"/>
      <c r="G587" s="34" t="str">
        <f>[1]Source!DI371</f>
        <v>)*4*168</v>
      </c>
      <c r="H587" s="4">
        <f>[1]Source!AV371</f>
        <v>1</v>
      </c>
      <c r="I587" s="4"/>
      <c r="J587" s="33"/>
      <c r="K587" s="33">
        <f>[1]Source!U371</f>
        <v>1393.5808319999999</v>
      </c>
      <c r="M587"/>
      <c r="N587"/>
      <c r="O587"/>
      <c r="P587"/>
      <c r="Q587"/>
    </row>
    <row r="588" spans="1:33" ht="15" x14ac:dyDescent="0.25">
      <c r="A588" s="35"/>
      <c r="B588" s="35"/>
      <c r="C588" s="35"/>
      <c r="D588" s="35"/>
      <c r="E588" s="35"/>
      <c r="F588" s="35"/>
      <c r="G588" s="35"/>
      <c r="H588" s="35"/>
      <c r="I588" s="36">
        <f>J584+J585+J586</f>
        <v>621934.36</v>
      </c>
      <c r="J588" s="36"/>
      <c r="K588" s="37">
        <f>IF([1]Source!I371&lt;&gt;0, ROUND(I588/[1]Source!I371, 2), 0)</f>
        <v>140954.69</v>
      </c>
      <c r="M588"/>
      <c r="N588"/>
      <c r="O588"/>
      <c r="P588"/>
      <c r="Q588"/>
      <c r="AA588" s="38">
        <f>I588</f>
        <v>621934.36</v>
      </c>
    </row>
    <row r="589" spans="1:33" ht="57" x14ac:dyDescent="0.2">
      <c r="A589" s="31">
        <v>85</v>
      </c>
      <c r="B589" s="31" t="str">
        <f>[1]Source!F372</f>
        <v>5.3-1102-24-1/1</v>
      </c>
      <c r="C589" s="31" t="str">
        <f>[1]Source!G372</f>
        <v>Уборка свежевыпавшего снега ручной самоходной машиной - ширина захвата 120 см ( S= 3676,88 м2*0,2=735,38 м2 )</v>
      </c>
      <c r="D589" s="32" t="str">
        <f>[1]Source!H372</f>
        <v>100 м2</v>
      </c>
      <c r="E589" s="4">
        <f>[1]Source!I372</f>
        <v>7.3537999999999997</v>
      </c>
      <c r="F589" s="33"/>
      <c r="G589" s="34"/>
      <c r="H589" s="4"/>
      <c r="I589" s="4"/>
      <c r="J589" s="33"/>
      <c r="K589" s="33"/>
      <c r="M589"/>
      <c r="N589"/>
      <c r="O589"/>
      <c r="P589"/>
      <c r="Q589"/>
      <c r="AB589">
        <f>ROUND(([1]Source!BZ372/100)*ROUND(([1]Source!AF372*[1]Source!AV372)*[1]Source!I372, 2), 2)</f>
        <v>335752.62</v>
      </c>
      <c r="AC589">
        <f>[1]Source!X372</f>
        <v>335752.62</v>
      </c>
      <c r="AD589">
        <f>ROUND(([1]Source!CA372/100)*ROUND(([1]Source!AF372*[1]Source!AV372)*[1]Source!I372, 2), 2)</f>
        <v>47964.66</v>
      </c>
      <c r="AE589">
        <f>[1]Source!Y372</f>
        <v>47964.66</v>
      </c>
      <c r="AF589">
        <f>ROUND((175/100)*ROUND(([1]Source!AE372*[1]Source!AV372)*[1]Source!I372, 2), 2)</f>
        <v>778.33</v>
      </c>
      <c r="AG589">
        <f>ROUND((108/100)*ROUND([1]Source!CS372*[1]Source!I372, 2), 2)</f>
        <v>480.34</v>
      </c>
    </row>
    <row r="590" spans="1:33" x14ac:dyDescent="0.2">
      <c r="C590" s="40" t="str">
        <f>"Объем: "&amp;[1]Source!I372&amp;"=735,38/"&amp;"100"</f>
        <v>Объем: 7,3538=735,38/100</v>
      </c>
      <c r="M590"/>
      <c r="N590"/>
      <c r="O590"/>
      <c r="P590"/>
      <c r="Q590"/>
    </row>
    <row r="591" spans="1:33" ht="14.25" x14ac:dyDescent="0.2">
      <c r="A591" s="31"/>
      <c r="B591" s="31"/>
      <c r="C591" s="31" t="s">
        <v>34</v>
      </c>
      <c r="D591" s="32"/>
      <c r="E591" s="4"/>
      <c r="F591" s="33">
        <f>[1]Source!AO372</f>
        <v>97.06</v>
      </c>
      <c r="G591" s="34" t="str">
        <f>[1]Source!DG372</f>
        <v>)*4*168</v>
      </c>
      <c r="H591" s="4">
        <f>[1]Source!AV372</f>
        <v>1</v>
      </c>
      <c r="I591" s="4">
        <f>IF([1]Source!BA372&lt;&gt; 0, [1]Source!BA372, 1)</f>
        <v>1</v>
      </c>
      <c r="J591" s="33">
        <f>[1]Source!S372</f>
        <v>479646.6</v>
      </c>
      <c r="K591" s="33"/>
      <c r="M591"/>
      <c r="N591"/>
      <c r="O591"/>
      <c r="P591"/>
      <c r="Q591"/>
    </row>
    <row r="592" spans="1:33" ht="14.25" x14ac:dyDescent="0.2">
      <c r="A592" s="31"/>
      <c r="B592" s="31"/>
      <c r="C592" s="31" t="s">
        <v>33</v>
      </c>
      <c r="D592" s="32"/>
      <c r="E592" s="4"/>
      <c r="F592" s="33">
        <f>[1]Source!AM372</f>
        <v>33.97</v>
      </c>
      <c r="G592" s="34" t="str">
        <f>[1]Source!DE372</f>
        <v>)*4*168</v>
      </c>
      <c r="H592" s="4">
        <f>[1]Source!AV372</f>
        <v>1</v>
      </c>
      <c r="I592" s="4">
        <f>IF([1]Source!BB372&lt;&gt; 0, [1]Source!BB372, 1)</f>
        <v>1</v>
      </c>
      <c r="J592" s="33">
        <f>[1]Source!Q372</f>
        <v>167871.37</v>
      </c>
      <c r="K592" s="33"/>
      <c r="M592"/>
      <c r="N592"/>
      <c r="O592"/>
      <c r="P592"/>
      <c r="Q592"/>
    </row>
    <row r="593" spans="1:33" ht="14.25" x14ac:dyDescent="0.2">
      <c r="A593" s="31"/>
      <c r="B593" s="31"/>
      <c r="C593" s="31" t="s">
        <v>37</v>
      </c>
      <c r="D593" s="32"/>
      <c r="E593" s="4"/>
      <c r="F593" s="33">
        <f>[1]Source!AN372</f>
        <v>0.09</v>
      </c>
      <c r="G593" s="34" t="str">
        <f>[1]Source!DF372</f>
        <v>)*4*168</v>
      </c>
      <c r="H593" s="4">
        <f>[1]Source!AV372</f>
        <v>1</v>
      </c>
      <c r="I593" s="4">
        <f>IF([1]Source!BS372&lt;&gt; 0, [1]Source!BS372, 1)</f>
        <v>1</v>
      </c>
      <c r="J593" s="41">
        <f>[1]Source!R372</f>
        <v>444.76</v>
      </c>
      <c r="K593" s="33"/>
      <c r="M593"/>
      <c r="N593"/>
      <c r="O593"/>
      <c r="P593"/>
      <c r="Q593"/>
    </row>
    <row r="594" spans="1:33" ht="14.25" x14ac:dyDescent="0.2">
      <c r="A594" s="31"/>
      <c r="B594" s="31"/>
      <c r="C594" s="31" t="s">
        <v>40</v>
      </c>
      <c r="D594" s="32" t="s">
        <v>39</v>
      </c>
      <c r="E594" s="4">
        <f>[1]Source!AT372</f>
        <v>70</v>
      </c>
      <c r="F594" s="33"/>
      <c r="G594" s="34"/>
      <c r="H594" s="4"/>
      <c r="I594" s="4"/>
      <c r="J594" s="33">
        <f>SUM(AC589:AC593)</f>
        <v>335752.62</v>
      </c>
      <c r="K594" s="33"/>
      <c r="M594"/>
      <c r="N594"/>
      <c r="O594"/>
      <c r="P594"/>
      <c r="Q594"/>
    </row>
    <row r="595" spans="1:33" ht="14.25" x14ac:dyDescent="0.2">
      <c r="A595" s="31"/>
      <c r="B595" s="31"/>
      <c r="C595" s="31" t="s">
        <v>41</v>
      </c>
      <c r="D595" s="32" t="s">
        <v>39</v>
      </c>
      <c r="E595" s="4">
        <f>[1]Source!AU372</f>
        <v>10</v>
      </c>
      <c r="F595" s="33"/>
      <c r="G595" s="34"/>
      <c r="H595" s="4"/>
      <c r="I595" s="4"/>
      <c r="J595" s="33">
        <f>SUM(AE589:AE594)</f>
        <v>47964.66</v>
      </c>
      <c r="K595" s="33"/>
      <c r="M595"/>
      <c r="N595"/>
      <c r="O595"/>
      <c r="P595"/>
      <c r="Q595"/>
    </row>
    <row r="596" spans="1:33" ht="14.25" x14ac:dyDescent="0.2">
      <c r="A596" s="31"/>
      <c r="B596" s="31"/>
      <c r="C596" s="31" t="s">
        <v>38</v>
      </c>
      <c r="D596" s="32" t="s">
        <v>39</v>
      </c>
      <c r="E596" s="4">
        <f>108</f>
        <v>108</v>
      </c>
      <c r="F596" s="33"/>
      <c r="G596" s="34"/>
      <c r="H596" s="4"/>
      <c r="I596" s="4"/>
      <c r="J596" s="33">
        <f>SUM(AG589:AG595)</f>
        <v>480.34</v>
      </c>
      <c r="K596" s="33"/>
      <c r="M596"/>
      <c r="N596"/>
      <c r="O596"/>
      <c r="P596"/>
      <c r="Q596"/>
    </row>
    <row r="597" spans="1:33" ht="14.25" x14ac:dyDescent="0.2">
      <c r="A597" s="31"/>
      <c r="B597" s="31"/>
      <c r="C597" s="31" t="s">
        <v>42</v>
      </c>
      <c r="D597" s="32" t="s">
        <v>43</v>
      </c>
      <c r="E597" s="4">
        <f>[1]Source!AQ372</f>
        <v>0.35</v>
      </c>
      <c r="F597" s="33"/>
      <c r="G597" s="34" t="str">
        <f>[1]Source!DI372</f>
        <v>)*4*168</v>
      </c>
      <c r="H597" s="4">
        <f>[1]Source!AV372</f>
        <v>1</v>
      </c>
      <c r="I597" s="4"/>
      <c r="J597" s="33"/>
      <c r="K597" s="33">
        <f>[1]Source!U372</f>
        <v>1729.6137599999997</v>
      </c>
      <c r="M597"/>
      <c r="N597"/>
      <c r="O597"/>
      <c r="P597"/>
      <c r="Q597"/>
    </row>
    <row r="598" spans="1:33" ht="15" x14ac:dyDescent="0.25">
      <c r="A598" s="35"/>
      <c r="B598" s="35"/>
      <c r="C598" s="35"/>
      <c r="D598" s="35"/>
      <c r="E598" s="35"/>
      <c r="F598" s="35"/>
      <c r="G598" s="35"/>
      <c r="H598" s="35"/>
      <c r="I598" s="36">
        <f>J591+J592+J594+J595+J596</f>
        <v>1031715.59</v>
      </c>
      <c r="J598" s="36"/>
      <c r="K598" s="37">
        <f>IF([1]Source!I372&lt;&gt;0, ROUND(I598/[1]Source!I372, 2), 0)</f>
        <v>140296.93</v>
      </c>
      <c r="M598"/>
      <c r="N598"/>
      <c r="O598"/>
      <c r="P598"/>
      <c r="Q598"/>
      <c r="AA598" s="38">
        <f>I598</f>
        <v>1031715.59</v>
      </c>
    </row>
    <row r="599" spans="1:33" ht="42.75" x14ac:dyDescent="0.2">
      <c r="A599" s="31">
        <v>86</v>
      </c>
      <c r="B599" s="31" t="str">
        <f>[1]Source!F373</f>
        <v>5.3-1102-9-1/1</v>
      </c>
      <c r="C599" s="31" t="str">
        <f>[1]Source!G373</f>
        <v>Колка льда на обледеневших покрытиях вручную ( S=3676,88 м2*0,8*0,3*0,5=  441,23м2)</v>
      </c>
      <c r="D599" s="32" t="str">
        <f>[1]Source!H373</f>
        <v>100 м2</v>
      </c>
      <c r="E599" s="4">
        <f>[1]Source!I373</f>
        <v>4.4123000000000001</v>
      </c>
      <c r="F599" s="33"/>
      <c r="G599" s="34"/>
      <c r="H599" s="4"/>
      <c r="I599" s="4"/>
      <c r="J599" s="33"/>
      <c r="K599" s="33"/>
      <c r="M599"/>
      <c r="N599"/>
      <c r="O599"/>
      <c r="P599"/>
      <c r="Q599"/>
      <c r="AB599">
        <f>ROUND(([1]Source!BZ373/100)*ROUND(([1]Source!AF373*[1]Source!AV373)*[1]Source!I373, 2), 2)</f>
        <v>620079.72</v>
      </c>
      <c r="AC599">
        <f>[1]Source!X373</f>
        <v>620079.72</v>
      </c>
      <c r="AD599">
        <f>ROUND(([1]Source!CA373/100)*ROUND(([1]Source!AF373*[1]Source!AV373)*[1]Source!I373, 2), 2)</f>
        <v>88582.82</v>
      </c>
      <c r="AE599">
        <f>[1]Source!Y373</f>
        <v>88582.82</v>
      </c>
      <c r="AF599">
        <f>ROUND((175/100)*ROUND(([1]Source!AE373*[1]Source!AV373)*[1]Source!I373, 2), 2)</f>
        <v>0</v>
      </c>
      <c r="AG599">
        <f>ROUND((108/100)*ROUND([1]Source!CS373*[1]Source!I373, 2), 2)</f>
        <v>0</v>
      </c>
    </row>
    <row r="600" spans="1:33" x14ac:dyDescent="0.2">
      <c r="C600" s="40" t="str">
        <f>"Объем: "&amp;[1]Source!I373&amp;"=441,23/"&amp;"100"</f>
        <v>Объем: 4,4123=441,23/100</v>
      </c>
      <c r="M600"/>
      <c r="N600"/>
      <c r="O600"/>
      <c r="P600"/>
      <c r="Q600"/>
    </row>
    <row r="601" spans="1:33" ht="14.25" x14ac:dyDescent="0.2">
      <c r="A601" s="31"/>
      <c r="B601" s="31"/>
      <c r="C601" s="31" t="s">
        <v>34</v>
      </c>
      <c r="D601" s="32"/>
      <c r="E601" s="4"/>
      <c r="F601" s="33">
        <f>[1]Source!AO373</f>
        <v>597.51</v>
      </c>
      <c r="G601" s="34" t="str">
        <f>[1]Source!DG373</f>
        <v>)*2*168</v>
      </c>
      <c r="H601" s="4">
        <f>[1]Source!AV373</f>
        <v>1</v>
      </c>
      <c r="I601" s="4">
        <f>IF([1]Source!BA373&lt;&gt; 0, [1]Source!BA373, 1)</f>
        <v>1</v>
      </c>
      <c r="J601" s="33">
        <f>[1]Source!S373</f>
        <v>885828.17</v>
      </c>
      <c r="K601" s="33"/>
      <c r="M601"/>
      <c r="N601"/>
      <c r="O601"/>
      <c r="P601"/>
      <c r="Q601"/>
    </row>
    <row r="602" spans="1:33" ht="14.25" x14ac:dyDescent="0.2">
      <c r="A602" s="31"/>
      <c r="B602" s="31"/>
      <c r="C602" s="31" t="s">
        <v>40</v>
      </c>
      <c r="D602" s="32" t="s">
        <v>39</v>
      </c>
      <c r="E602" s="4">
        <f>[1]Source!AT373</f>
        <v>70</v>
      </c>
      <c r="F602" s="33"/>
      <c r="G602" s="34"/>
      <c r="H602" s="4"/>
      <c r="I602" s="4"/>
      <c r="J602" s="33">
        <f>SUM(AC599:AC601)</f>
        <v>620079.72</v>
      </c>
      <c r="K602" s="33"/>
      <c r="M602"/>
      <c r="N602"/>
      <c r="O602"/>
      <c r="P602"/>
      <c r="Q602"/>
    </row>
    <row r="603" spans="1:33" ht="14.25" x14ac:dyDescent="0.2">
      <c r="A603" s="31"/>
      <c r="B603" s="31"/>
      <c r="C603" s="31" t="s">
        <v>41</v>
      </c>
      <c r="D603" s="32" t="s">
        <v>39</v>
      </c>
      <c r="E603" s="4">
        <f>[1]Source!AU373</f>
        <v>10</v>
      </c>
      <c r="F603" s="33"/>
      <c r="G603" s="34"/>
      <c r="H603" s="4"/>
      <c r="I603" s="4"/>
      <c r="J603" s="33">
        <f>SUM(AE599:AE602)</f>
        <v>88582.82</v>
      </c>
      <c r="K603" s="33"/>
      <c r="M603"/>
      <c r="N603"/>
      <c r="O603"/>
      <c r="P603"/>
      <c r="Q603"/>
    </row>
    <row r="604" spans="1:33" ht="14.25" x14ac:dyDescent="0.2">
      <c r="A604" s="31"/>
      <c r="B604" s="31"/>
      <c r="C604" s="31" t="s">
        <v>42</v>
      </c>
      <c r="D604" s="32" t="s">
        <v>43</v>
      </c>
      <c r="E604" s="4">
        <f>[1]Source!AQ373</f>
        <v>2.41</v>
      </c>
      <c r="F604" s="33"/>
      <c r="G604" s="34" t="str">
        <f>[1]Source!DI373</f>
        <v>)*2*168</v>
      </c>
      <c r="H604" s="4">
        <f>[1]Source!AV373</f>
        <v>1</v>
      </c>
      <c r="I604" s="4"/>
      <c r="J604" s="33"/>
      <c r="K604" s="33">
        <f>[1]Source!U373</f>
        <v>3572.9040479999999</v>
      </c>
      <c r="M604"/>
      <c r="N604"/>
      <c r="O604"/>
      <c r="P604"/>
      <c r="Q604"/>
    </row>
    <row r="605" spans="1:33" ht="15" x14ac:dyDescent="0.25">
      <c r="A605" s="35"/>
      <c r="B605" s="35"/>
      <c r="C605" s="35"/>
      <c r="D605" s="35"/>
      <c r="E605" s="35"/>
      <c r="F605" s="35"/>
      <c r="G605" s="35"/>
      <c r="H605" s="35"/>
      <c r="I605" s="36">
        <f>J601+J602+J603</f>
        <v>1594490.7100000002</v>
      </c>
      <c r="J605" s="36"/>
      <c r="K605" s="37">
        <f>IF([1]Source!I373&lt;&gt;0, ROUND(I605/[1]Source!I373, 2), 0)</f>
        <v>361374.05</v>
      </c>
      <c r="M605"/>
      <c r="N605"/>
      <c r="O605"/>
      <c r="P605"/>
      <c r="Q605"/>
      <c r="AA605" s="38">
        <f>I605</f>
        <v>1594490.7100000002</v>
      </c>
    </row>
    <row r="606" spans="1:33" ht="28.5" x14ac:dyDescent="0.2">
      <c r="A606" s="31">
        <v>87</v>
      </c>
      <c r="B606" s="31" t="str">
        <f>[1]Source!F374</f>
        <v>калькуляция</v>
      </c>
      <c r="C606" s="31" t="str">
        <f>[1]Source!G374</f>
        <v>Посыпка гранитной крошкой  дорожных покрытий вручную( 100г/м2 )</v>
      </c>
      <c r="D606" s="32" t="str">
        <f>[1]Source!H374</f>
        <v>м2</v>
      </c>
      <c r="E606" s="4">
        <f>[1]Source!I374</f>
        <v>3676.88</v>
      </c>
      <c r="F606" s="33"/>
      <c r="G606" s="34"/>
      <c r="H606" s="4"/>
      <c r="I606" s="4"/>
      <c r="J606" s="33"/>
      <c r="K606" s="33"/>
      <c r="M606"/>
      <c r="N606"/>
      <c r="O606"/>
      <c r="P606"/>
      <c r="Q606"/>
      <c r="AB606">
        <f>ROUND(([1]Source!BZ374/100)*ROUND(([1]Source!AF374*[1]Source!AV374)*[1]Source!I374, 2), 2)</f>
        <v>0</v>
      </c>
      <c r="AC606">
        <f>[1]Source!X374</f>
        <v>0</v>
      </c>
      <c r="AD606">
        <f>ROUND(([1]Source!CA374/100)*ROUND(([1]Source!AF374*[1]Source!AV374)*[1]Source!I374, 2), 2)</f>
        <v>0</v>
      </c>
      <c r="AE606">
        <f>[1]Source!Y374</f>
        <v>0</v>
      </c>
      <c r="AF606">
        <f>ROUND((175/100)*ROUND(([1]Source!AE374*[1]Source!AV374)*[1]Source!I374, 2), 2)</f>
        <v>0</v>
      </c>
      <c r="AG606">
        <f>ROUND((108/100)*ROUND([1]Source!CS374*[1]Source!I374, 2), 2)</f>
        <v>0</v>
      </c>
    </row>
    <row r="607" spans="1:33" ht="14.25" x14ac:dyDescent="0.2">
      <c r="A607" s="31"/>
      <c r="B607" s="31"/>
      <c r="C607" s="31" t="s">
        <v>34</v>
      </c>
      <c r="D607" s="32"/>
      <c r="E607" s="4"/>
      <c r="F607" s="33">
        <f>[1]Source!AO374</f>
        <v>2.08</v>
      </c>
      <c r="G607" s="34" t="str">
        <f>[1]Source!DG374</f>
        <v>)*4*168</v>
      </c>
      <c r="H607" s="4">
        <f>[1]Source!AV374</f>
        <v>1</v>
      </c>
      <c r="I607" s="4">
        <f>IF([1]Source!BA374&lt;&gt; 0, [1]Source!BA374, 1)</f>
        <v>1</v>
      </c>
      <c r="J607" s="33">
        <f>[1]Source!S374</f>
        <v>5139395.79</v>
      </c>
      <c r="K607" s="33"/>
      <c r="M607"/>
      <c r="N607"/>
      <c r="O607"/>
      <c r="P607"/>
      <c r="Q607"/>
    </row>
    <row r="608" spans="1:33" ht="14.25" x14ac:dyDescent="0.2">
      <c r="A608" s="31" t="s">
        <v>61</v>
      </c>
      <c r="B608" s="31" t="str">
        <f>[1]Source!F375</f>
        <v>цена поставщика</v>
      </c>
      <c r="C608" s="31" t="str">
        <f>[1]Source!G375</f>
        <v>Крошка гранитная</v>
      </c>
      <c r="D608" s="32" t="str">
        <f>[1]Source!H375</f>
        <v>кг</v>
      </c>
      <c r="E608" s="4">
        <f>[1]Source!I375</f>
        <v>247086.33600000001</v>
      </c>
      <c r="F608" s="33">
        <f>[1]Source!AK375</f>
        <v>4.43</v>
      </c>
      <c r="G608" s="39" t="s">
        <v>45</v>
      </c>
      <c r="H608" s="4">
        <f>[1]Source!AW375</f>
        <v>1</v>
      </c>
      <c r="I608" s="4">
        <f>IF([1]Source!BC375&lt;&gt; 0, [1]Source!BC375, 1)</f>
        <v>1</v>
      </c>
      <c r="J608" s="33">
        <f>[1]Source!O375</f>
        <v>1094592.47</v>
      </c>
      <c r="K608" s="33"/>
      <c r="M608"/>
      <c r="N608"/>
      <c r="O608"/>
      <c r="P608"/>
      <c r="Q608"/>
      <c r="AB608">
        <f>ROUND(([1]Source!BZ375/100)*ROUND(([1]Source!AF375*[1]Source!AV375)*[1]Source!I375, 2), 2)</f>
        <v>0</v>
      </c>
      <c r="AC608">
        <f>[1]Source!X375</f>
        <v>0</v>
      </c>
      <c r="AD608">
        <f>ROUND(([1]Source!CA375/100)*ROUND(([1]Source!AF375*[1]Source!AV375)*[1]Source!I375, 2), 2)</f>
        <v>0</v>
      </c>
      <c r="AE608">
        <f>[1]Source!Y375</f>
        <v>0</v>
      </c>
      <c r="AF608">
        <f>ROUND((175/100)*ROUND(([1]Source!AE375*[1]Source!AV375)*[1]Source!I375, 2), 2)</f>
        <v>0</v>
      </c>
      <c r="AG608">
        <f>ROUND((108/100)*ROUND([1]Source!CS375*[1]Source!I375, 2), 2)</f>
        <v>0</v>
      </c>
    </row>
    <row r="609" spans="1:43" ht="15" x14ac:dyDescent="0.25">
      <c r="A609" s="35"/>
      <c r="B609" s="35"/>
      <c r="C609" s="35"/>
      <c r="D609" s="35"/>
      <c r="E609" s="35"/>
      <c r="F609" s="35"/>
      <c r="G609" s="35"/>
      <c r="H609" s="35"/>
      <c r="I609" s="36">
        <f>J607+SUM(J608:J608)</f>
        <v>6233988.2599999998</v>
      </c>
      <c r="J609" s="36"/>
      <c r="K609" s="37">
        <f>IF([1]Source!I374&lt;&gt;0, ROUND(I609/[1]Source!I374, 2), 0)</f>
        <v>1695.46</v>
      </c>
      <c r="M609"/>
      <c r="N609"/>
      <c r="O609"/>
      <c r="P609"/>
      <c r="Q609"/>
      <c r="AA609" s="38">
        <f>I609</f>
        <v>6233988.2599999998</v>
      </c>
    </row>
    <row r="610" spans="1:43" ht="28.5" x14ac:dyDescent="0.2">
      <c r="A610" s="31">
        <v>88</v>
      </c>
      <c r="B610" s="31" t="str">
        <f>[1]Source!F376</f>
        <v>5.4-1201-1-1/1</v>
      </c>
      <c r="C610" s="31" t="str">
        <f>[1]Source!G376</f>
        <v>Сбор случайного мусора по территории</v>
      </c>
      <c r="D610" s="32" t="str">
        <f>[1]Source!H376</f>
        <v>100 м2</v>
      </c>
      <c r="E610" s="4">
        <f>[1]Source!I376</f>
        <v>36.768799999999999</v>
      </c>
      <c r="F610" s="33"/>
      <c r="G610" s="34"/>
      <c r="H610" s="4"/>
      <c r="I610" s="4"/>
      <c r="J610" s="33"/>
      <c r="K610" s="33"/>
      <c r="M610"/>
      <c r="N610"/>
      <c r="O610"/>
      <c r="P610"/>
      <c r="Q610"/>
      <c r="AB610">
        <f>ROUND(([1]Source!BZ376/100)*ROUND(([1]Source!AF376*[1]Source!AV376)*[1]Source!I376, 2), 2)</f>
        <v>423835.43</v>
      </c>
      <c r="AC610">
        <f>[1]Source!X376</f>
        <v>423835.43</v>
      </c>
      <c r="AD610">
        <f>ROUND(([1]Source!CA376/100)*ROUND(([1]Source!AF376*[1]Source!AV376)*[1]Source!I376, 2), 2)</f>
        <v>60547.92</v>
      </c>
      <c r="AE610">
        <f>[1]Source!Y376</f>
        <v>60547.92</v>
      </c>
      <c r="AF610">
        <f>ROUND((175/100)*ROUND(([1]Source!AE376*[1]Source!AV376)*[1]Source!I376, 2), 2)</f>
        <v>0</v>
      </c>
      <c r="AG610">
        <f>ROUND((108/100)*ROUND([1]Source!CS376*[1]Source!I376, 2), 2)</f>
        <v>0</v>
      </c>
    </row>
    <row r="611" spans="1:43" x14ac:dyDescent="0.2">
      <c r="C611" s="40" t="str">
        <f>"Объем: "&amp;[1]Source!I376&amp;"=3676,88/"&amp;"100"</f>
        <v>Объем: 36,7688=3676,88/100</v>
      </c>
      <c r="M611"/>
      <c r="N611"/>
      <c r="O611"/>
      <c r="P611"/>
      <c r="Q611"/>
    </row>
    <row r="612" spans="1:43" ht="14.25" x14ac:dyDescent="0.2">
      <c r="A612" s="31"/>
      <c r="B612" s="31"/>
      <c r="C612" s="31" t="s">
        <v>34</v>
      </c>
      <c r="D612" s="32"/>
      <c r="E612" s="4"/>
      <c r="F612" s="33">
        <f>[1]Source!AO376</f>
        <v>12.4</v>
      </c>
      <c r="G612" s="34" t="str">
        <f>[1]Source!DG376</f>
        <v>)*4*332</v>
      </c>
      <c r="H612" s="4">
        <f>[1]Source!AV376</f>
        <v>1</v>
      </c>
      <c r="I612" s="4">
        <f>IF([1]Source!BA376&lt;&gt; 0, [1]Source!BA376, 1)</f>
        <v>1</v>
      </c>
      <c r="J612" s="33">
        <f>[1]Source!S376</f>
        <v>605479.18000000005</v>
      </c>
      <c r="K612" s="33"/>
      <c r="M612"/>
      <c r="N612"/>
      <c r="O612"/>
      <c r="P612"/>
      <c r="Q612"/>
    </row>
    <row r="613" spans="1:43" ht="14.25" x14ac:dyDescent="0.2">
      <c r="A613" s="31"/>
      <c r="B613" s="31"/>
      <c r="C613" s="31" t="s">
        <v>47</v>
      </c>
      <c r="D613" s="32"/>
      <c r="E613" s="4"/>
      <c r="F613" s="33">
        <f>[1]Source!AL376</f>
        <v>0.69</v>
      </c>
      <c r="G613" s="34" t="str">
        <f>[1]Source!DD376</f>
        <v>)*4*332</v>
      </c>
      <c r="H613" s="4">
        <f>[1]Source!AW376</f>
        <v>1</v>
      </c>
      <c r="I613" s="4">
        <f>IF([1]Source!BC376&lt;&gt; 0, [1]Source!BC376, 1)</f>
        <v>1</v>
      </c>
      <c r="J613" s="33">
        <f>[1]Source!P376</f>
        <v>33691.99</v>
      </c>
      <c r="K613" s="33"/>
      <c r="M613"/>
      <c r="N613"/>
      <c r="O613"/>
      <c r="P613"/>
      <c r="Q613"/>
    </row>
    <row r="614" spans="1:43" ht="14.25" x14ac:dyDescent="0.2">
      <c r="A614" s="31"/>
      <c r="B614" s="31"/>
      <c r="C614" s="31" t="s">
        <v>40</v>
      </c>
      <c r="D614" s="32" t="s">
        <v>39</v>
      </c>
      <c r="E614" s="4">
        <f>[1]Source!AT376</f>
        <v>70</v>
      </c>
      <c r="F614" s="33"/>
      <c r="G614" s="34"/>
      <c r="H614" s="4"/>
      <c r="I614" s="4"/>
      <c r="J614" s="33">
        <f>SUM(AC610:AC613)</f>
        <v>423835.43</v>
      </c>
      <c r="K614" s="33"/>
      <c r="M614"/>
      <c r="N614"/>
      <c r="O614"/>
      <c r="P614"/>
      <c r="Q614"/>
    </row>
    <row r="615" spans="1:43" ht="14.25" x14ac:dyDescent="0.2">
      <c r="A615" s="31"/>
      <c r="B615" s="31"/>
      <c r="C615" s="31" t="s">
        <v>41</v>
      </c>
      <c r="D615" s="32" t="s">
        <v>39</v>
      </c>
      <c r="E615" s="4">
        <f>[1]Source!AU376</f>
        <v>10</v>
      </c>
      <c r="F615" s="33"/>
      <c r="G615" s="34"/>
      <c r="H615" s="4"/>
      <c r="I615" s="4"/>
      <c r="J615" s="33">
        <f>SUM(AE610:AE614)</f>
        <v>60547.92</v>
      </c>
      <c r="K615" s="33"/>
      <c r="M615"/>
      <c r="N615"/>
      <c r="O615"/>
      <c r="P615"/>
      <c r="Q615"/>
    </row>
    <row r="616" spans="1:43" ht="14.25" x14ac:dyDescent="0.2">
      <c r="A616" s="31"/>
      <c r="B616" s="31"/>
      <c r="C616" s="31" t="s">
        <v>42</v>
      </c>
      <c r="D616" s="32" t="s">
        <v>43</v>
      </c>
      <c r="E616" s="4">
        <f>[1]Source!AQ376</f>
        <v>0.05</v>
      </c>
      <c r="F616" s="33"/>
      <c r="G616" s="34" t="str">
        <f>[1]Source!DI376</f>
        <v>)*4*332</v>
      </c>
      <c r="H616" s="4">
        <f>[1]Source!AV376</f>
        <v>1</v>
      </c>
      <c r="I616" s="4"/>
      <c r="J616" s="33"/>
      <c r="K616" s="33">
        <f>[1]Source!U376</f>
        <v>2441.44832</v>
      </c>
      <c r="M616"/>
      <c r="N616"/>
      <c r="O616"/>
      <c r="P616"/>
      <c r="Q616"/>
    </row>
    <row r="617" spans="1:43" ht="15" x14ac:dyDescent="0.25">
      <c r="A617" s="35"/>
      <c r="B617" s="35"/>
      <c r="C617" s="35"/>
      <c r="D617" s="35"/>
      <c r="E617" s="35"/>
      <c r="F617" s="35"/>
      <c r="G617" s="35"/>
      <c r="H617" s="35"/>
      <c r="I617" s="36">
        <f>J612+J613+J614+J615</f>
        <v>1123554.52</v>
      </c>
      <c r="J617" s="36"/>
      <c r="K617" s="37">
        <f>IF([1]Source!I376&lt;&gt;0, ROUND(I617/[1]Source!I376, 2), 0)</f>
        <v>30557.279999999999</v>
      </c>
      <c r="M617"/>
      <c r="N617"/>
      <c r="O617"/>
      <c r="P617"/>
      <c r="Q617"/>
      <c r="AA617" s="38">
        <f>I617</f>
        <v>1123554.52</v>
      </c>
    </row>
    <row r="618" spans="1:43" x14ac:dyDescent="0.2">
      <c r="M618"/>
      <c r="N618"/>
      <c r="O618"/>
      <c r="P618"/>
      <c r="Q618"/>
    </row>
    <row r="619" spans="1:43" ht="30" x14ac:dyDescent="0.25">
      <c r="A619" s="42" t="str">
        <f>CONCATENATE("Итого по разделу: ",IF([1]Source!G378&lt;&gt;"Новый раздел", [1]Source!G378, ""))</f>
        <v>Итого по разделу: Содержание садово-парковых дорожек с покрытием из гравийной крошки + вокруг МАФ ( S= 3676,88 м2).</v>
      </c>
      <c r="B619" s="42"/>
      <c r="C619" s="42"/>
      <c r="D619" s="42"/>
      <c r="E619" s="42"/>
      <c r="F619" s="42"/>
      <c r="G619" s="42"/>
      <c r="H619" s="42"/>
      <c r="I619" s="43">
        <f>SUM(AA557:AA618)</f>
        <v>17837443.890000004</v>
      </c>
      <c r="J619" s="44"/>
      <c r="K619" s="47"/>
      <c r="L619" s="38">
        <f>I619</f>
        <v>17837443.890000004</v>
      </c>
      <c r="M619" s="2">
        <f>ROUND(I619*$I$4874,2)</f>
        <v>12882324.119999999</v>
      </c>
      <c r="N619" s="2">
        <f>ROUND(M619*1.2/105*100,2)</f>
        <v>14722656.140000001</v>
      </c>
      <c r="O619" s="2">
        <f>ROUND(N619*0.05,2)</f>
        <v>736132.81</v>
      </c>
      <c r="P619" s="2">
        <f>N619+O619</f>
        <v>15458788.950000001</v>
      </c>
      <c r="Q619" s="3">
        <v>20</v>
      </c>
      <c r="R619">
        <v>2</v>
      </c>
      <c r="S619" s="2">
        <v>2834506.61</v>
      </c>
      <c r="AQ619" s="46" t="str">
        <f>CONCATENATE("Итого по разделу: ",IF([1]Source!G378&lt;&gt;"Новый раздел", [1]Source!G378, ""))</f>
        <v>Итого по разделу: Содержание садово-парковых дорожек с покрытием из гравийной крошки + вокруг МАФ ( S= 3676,88 м2).</v>
      </c>
    </row>
    <row r="620" spans="1:43" x14ac:dyDescent="0.2">
      <c r="M620"/>
      <c r="N620"/>
      <c r="O620"/>
      <c r="P620"/>
      <c r="Q620"/>
    </row>
    <row r="621" spans="1:43" x14ac:dyDescent="0.2">
      <c r="M621"/>
      <c r="N621"/>
      <c r="O621"/>
      <c r="P621"/>
      <c r="Q621"/>
    </row>
    <row r="622" spans="1:43" ht="33" x14ac:dyDescent="0.25">
      <c r="A622" s="29" t="str">
        <f>CONCATENATE("Раздел: ",IF([1]Source!G408&lt;&gt;"Новый раздел", [1]Source!G408, ""))</f>
        <v>Раздел: Содержание садово-парковых дорожных покрытий из гравийной крошки с разным уровнем уклона поверхности( S=615 м2 ).</v>
      </c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M622"/>
      <c r="N622"/>
      <c r="O622"/>
      <c r="P622"/>
      <c r="Q622"/>
      <c r="AP622" s="30" t="str">
        <f>CONCATENATE("Раздел: ",IF([1]Source!G408&lt;&gt;"Новый раздел", [1]Source!G408, ""))</f>
        <v>Раздел: Содержание садово-парковых дорожных покрытий из гравийной крошки с разным уровнем уклона поверхности( S=615 м2 ).</v>
      </c>
    </row>
    <row r="623" spans="1:43" ht="28.5" x14ac:dyDescent="0.2">
      <c r="A623" s="31">
        <v>89</v>
      </c>
      <c r="B623" s="31" t="str">
        <f>[1]Source!F412</f>
        <v>калькуляция</v>
      </c>
      <c r="C623" s="31" t="str">
        <f>[1]Source!G412</f>
        <v>Подметание дорожек  вручную ( S=615 м2)</v>
      </c>
      <c r="D623" s="32" t="str">
        <f>[1]Source!H412</f>
        <v>м2</v>
      </c>
      <c r="E623" s="4">
        <f>[1]Source!I412</f>
        <v>615</v>
      </c>
      <c r="F623" s="33"/>
      <c r="G623" s="34"/>
      <c r="H623" s="4"/>
      <c r="I623" s="4"/>
      <c r="J623" s="33"/>
      <c r="K623" s="33"/>
      <c r="M623"/>
      <c r="N623"/>
      <c r="O623"/>
      <c r="P623"/>
      <c r="Q623"/>
      <c r="AB623">
        <f>ROUND(([1]Source!BZ412/100)*ROUND(([1]Source!AF412*[1]Source!AV412)*[1]Source!I412, 2), 2)</f>
        <v>0</v>
      </c>
      <c r="AC623">
        <f>[1]Source!X412</f>
        <v>0</v>
      </c>
      <c r="AD623">
        <f>ROUND(([1]Source!CA412/100)*ROUND(([1]Source!AF412*[1]Source!AV412)*[1]Source!I412, 2), 2)</f>
        <v>0</v>
      </c>
      <c r="AE623">
        <f>[1]Source!Y412</f>
        <v>0</v>
      </c>
      <c r="AF623">
        <f>ROUND((175/100)*ROUND(([1]Source!AE412*[1]Source!AV412)*[1]Source!I412, 2), 2)</f>
        <v>0</v>
      </c>
      <c r="AG623">
        <f>ROUND((108/100)*ROUND([1]Source!CS412*[1]Source!I412, 2), 2)</f>
        <v>0</v>
      </c>
    </row>
    <row r="624" spans="1:43" ht="14.25" x14ac:dyDescent="0.2">
      <c r="A624" s="31"/>
      <c r="B624" s="31"/>
      <c r="C624" s="31" t="s">
        <v>34</v>
      </c>
      <c r="D624" s="32"/>
      <c r="E624" s="4"/>
      <c r="F624" s="33">
        <f>[1]Source!AO412</f>
        <v>1.32</v>
      </c>
      <c r="G624" s="34" t="str">
        <f>[1]Source!DG412</f>
        <v>)*4*164</v>
      </c>
      <c r="H624" s="4">
        <f>[1]Source!AV412</f>
        <v>1</v>
      </c>
      <c r="I624" s="4">
        <f>IF([1]Source!BA412&lt;&gt; 0, [1]Source!BA412, 1)</f>
        <v>1</v>
      </c>
      <c r="J624" s="33">
        <f>[1]Source!S412</f>
        <v>532540.80000000005</v>
      </c>
      <c r="K624" s="33"/>
      <c r="M624"/>
      <c r="N624"/>
      <c r="O624"/>
      <c r="P624"/>
      <c r="Q624"/>
    </row>
    <row r="625" spans="1:33" ht="15" x14ac:dyDescent="0.25">
      <c r="A625" s="35"/>
      <c r="B625" s="35"/>
      <c r="C625" s="35"/>
      <c r="D625" s="35"/>
      <c r="E625" s="35"/>
      <c r="F625" s="35"/>
      <c r="G625" s="35"/>
      <c r="H625" s="35"/>
      <c r="I625" s="36">
        <f>J624</f>
        <v>532540.80000000005</v>
      </c>
      <c r="J625" s="36"/>
      <c r="K625" s="37">
        <f>IF([1]Source!I412&lt;&gt;0, ROUND(I625/[1]Source!I412, 2), 0)</f>
        <v>865.92</v>
      </c>
      <c r="M625"/>
      <c r="N625"/>
      <c r="O625"/>
      <c r="P625"/>
      <c r="Q625"/>
      <c r="AA625" s="38">
        <f>I625</f>
        <v>532540.80000000005</v>
      </c>
    </row>
    <row r="626" spans="1:33" ht="42.75" x14ac:dyDescent="0.2">
      <c r="A626" s="31">
        <v>90</v>
      </c>
      <c r="B626" s="31" t="str">
        <f>[1]Source!F413</f>
        <v>5.3-1102-8-1/1</v>
      </c>
      <c r="C626" s="31" t="str">
        <f>[1]Source!G413</f>
        <v>Уборка свежевыпавшего снега вручную толщиной слоя до 10 см ( S = 615м2* 0,8*0,7*0,5 =172,2 м2)</v>
      </c>
      <c r="D626" s="32" t="str">
        <f>[1]Source!H413</f>
        <v>100 м2</v>
      </c>
      <c r="E626" s="4">
        <f>[1]Source!I413</f>
        <v>1.722</v>
      </c>
      <c r="F626" s="33"/>
      <c r="G626" s="34"/>
      <c r="H626" s="4"/>
      <c r="I626" s="4"/>
      <c r="J626" s="33"/>
      <c r="K626" s="33"/>
      <c r="M626"/>
      <c r="N626"/>
      <c r="O626"/>
      <c r="P626"/>
      <c r="Q626"/>
      <c r="AB626">
        <f>ROUND(([1]Source!BZ413/100)*ROUND(([1]Source!AF413*[1]Source!AV413)*[1]Source!I413, 2), 2)</f>
        <v>130536.14</v>
      </c>
      <c r="AC626">
        <f>[1]Source!X413</f>
        <v>130536.14</v>
      </c>
      <c r="AD626">
        <f>ROUND(([1]Source!CA413/100)*ROUND(([1]Source!AF413*[1]Source!AV413)*[1]Source!I413, 2), 2)</f>
        <v>18648.02</v>
      </c>
      <c r="AE626">
        <f>[1]Source!Y413</f>
        <v>18648.02</v>
      </c>
      <c r="AF626">
        <f>ROUND((175/100)*ROUND(([1]Source!AE413*[1]Source!AV413)*[1]Source!I413, 2), 2)</f>
        <v>0</v>
      </c>
      <c r="AG626">
        <f>ROUND((108/100)*ROUND([1]Source!CS413*[1]Source!I413, 2), 2)</f>
        <v>0</v>
      </c>
    </row>
    <row r="627" spans="1:33" x14ac:dyDescent="0.2">
      <c r="C627" s="40" t="str">
        <f>"Объем: "&amp;[1]Source!I413&amp;"=172,2/"&amp;"100"</f>
        <v>Объем: 1,722=172,2/100</v>
      </c>
      <c r="M627"/>
      <c r="N627"/>
      <c r="O627"/>
      <c r="P627"/>
      <c r="Q627"/>
    </row>
    <row r="628" spans="1:33" ht="14.25" x14ac:dyDescent="0.2">
      <c r="A628" s="31"/>
      <c r="B628" s="31"/>
      <c r="C628" s="31" t="s">
        <v>34</v>
      </c>
      <c r="D628" s="32"/>
      <c r="E628" s="4"/>
      <c r="F628" s="33">
        <f>[1]Source!AO413</f>
        <v>161.15</v>
      </c>
      <c r="G628" s="34" t="str">
        <f>[1]Source!DG413</f>
        <v>)*4*168</v>
      </c>
      <c r="H628" s="4">
        <f>[1]Source!AV413</f>
        <v>1</v>
      </c>
      <c r="I628" s="4">
        <f>IF([1]Source!BA413&lt;&gt; 0, [1]Source!BA413, 1)</f>
        <v>1</v>
      </c>
      <c r="J628" s="33">
        <f>[1]Source!S413</f>
        <v>186480.2</v>
      </c>
      <c r="K628" s="33"/>
      <c r="M628"/>
      <c r="N628"/>
      <c r="O628"/>
      <c r="P628"/>
      <c r="Q628"/>
    </row>
    <row r="629" spans="1:33" ht="14.25" x14ac:dyDescent="0.2">
      <c r="A629" s="31"/>
      <c r="B629" s="31"/>
      <c r="C629" s="31" t="s">
        <v>40</v>
      </c>
      <c r="D629" s="32" t="s">
        <v>39</v>
      </c>
      <c r="E629" s="4">
        <f>[1]Source!AT413</f>
        <v>70</v>
      </c>
      <c r="F629" s="33"/>
      <c r="G629" s="34"/>
      <c r="H629" s="4"/>
      <c r="I629" s="4"/>
      <c r="J629" s="33">
        <f>SUM(AC626:AC628)</f>
        <v>130536.14</v>
      </c>
      <c r="K629" s="33"/>
      <c r="M629"/>
      <c r="N629"/>
      <c r="O629"/>
      <c r="P629"/>
      <c r="Q629"/>
    </row>
    <row r="630" spans="1:33" ht="14.25" x14ac:dyDescent="0.2">
      <c r="A630" s="31"/>
      <c r="B630" s="31"/>
      <c r="C630" s="31" t="s">
        <v>41</v>
      </c>
      <c r="D630" s="32" t="s">
        <v>39</v>
      </c>
      <c r="E630" s="4">
        <f>[1]Source!AU413</f>
        <v>10</v>
      </c>
      <c r="F630" s="33"/>
      <c r="G630" s="34"/>
      <c r="H630" s="4"/>
      <c r="I630" s="4"/>
      <c r="J630" s="33">
        <f>SUM(AE626:AE629)</f>
        <v>18648.02</v>
      </c>
      <c r="K630" s="33"/>
      <c r="M630"/>
      <c r="N630"/>
      <c r="O630"/>
      <c r="P630"/>
      <c r="Q630"/>
    </row>
    <row r="631" spans="1:33" ht="14.25" x14ac:dyDescent="0.2">
      <c r="A631" s="31"/>
      <c r="B631" s="31"/>
      <c r="C631" s="31" t="s">
        <v>42</v>
      </c>
      <c r="D631" s="32" t="s">
        <v>43</v>
      </c>
      <c r="E631" s="4">
        <f>[1]Source!AQ413</f>
        <v>0.65</v>
      </c>
      <c r="F631" s="33"/>
      <c r="G631" s="34" t="str">
        <f>[1]Source!DI413</f>
        <v>)*4*168</v>
      </c>
      <c r="H631" s="4">
        <f>[1]Source!AV413</f>
        <v>1</v>
      </c>
      <c r="I631" s="4"/>
      <c r="J631" s="33"/>
      <c r="K631" s="33">
        <f>[1]Source!U413</f>
        <v>752.16960000000006</v>
      </c>
      <c r="M631"/>
      <c r="N631"/>
      <c r="O631"/>
      <c r="P631"/>
      <c r="Q631"/>
    </row>
    <row r="632" spans="1:33" ht="15" x14ac:dyDescent="0.25">
      <c r="A632" s="35"/>
      <c r="B632" s="35"/>
      <c r="C632" s="35"/>
      <c r="D632" s="35"/>
      <c r="E632" s="35"/>
      <c r="F632" s="35"/>
      <c r="G632" s="35"/>
      <c r="H632" s="35"/>
      <c r="I632" s="36">
        <f>J628+J629+J630</f>
        <v>335664.36000000004</v>
      </c>
      <c r="J632" s="36"/>
      <c r="K632" s="37">
        <f>IF([1]Source!I413&lt;&gt;0, ROUND(I632/[1]Source!I413, 2), 0)</f>
        <v>194927.04</v>
      </c>
      <c r="M632"/>
      <c r="N632"/>
      <c r="O632"/>
      <c r="P632"/>
      <c r="Q632"/>
      <c r="AA632" s="38">
        <f>I632</f>
        <v>335664.36000000004</v>
      </c>
    </row>
    <row r="633" spans="1:33" ht="28.5" x14ac:dyDescent="0.2">
      <c r="A633" s="31">
        <v>91</v>
      </c>
      <c r="B633" s="31" t="str">
        <f>[1]Source!F414</f>
        <v>5.3-1102-8-3/1</v>
      </c>
      <c r="C633" s="31" t="str">
        <f>[1]Source!G414</f>
        <v>Уборка слежавшегося снега вручную( S=615м2*0,8*0,7*0,5=172,2м2 )</v>
      </c>
      <c r="D633" s="32" t="str">
        <f>[1]Source!H414</f>
        <v>100 м2</v>
      </c>
      <c r="E633" s="4">
        <f>[1]Source!I414</f>
        <v>1.722</v>
      </c>
      <c r="F633" s="33"/>
      <c r="G633" s="34"/>
      <c r="H633" s="4"/>
      <c r="I633" s="4"/>
      <c r="J633" s="33"/>
      <c r="K633" s="33"/>
      <c r="M633"/>
      <c r="N633"/>
      <c r="O633"/>
      <c r="P633"/>
      <c r="Q633"/>
      <c r="AB633">
        <f>ROUND(([1]Source!BZ414/100)*ROUND(([1]Source!AF414*[1]Source!AV414)*[1]Source!I414, 2), 2)</f>
        <v>76817.06</v>
      </c>
      <c r="AC633">
        <f>[1]Source!X414</f>
        <v>76817.06</v>
      </c>
      <c r="AD633">
        <f>ROUND(([1]Source!CA414/100)*ROUND(([1]Source!AF414*[1]Source!AV414)*[1]Source!I414, 2), 2)</f>
        <v>10973.87</v>
      </c>
      <c r="AE633">
        <f>[1]Source!Y414</f>
        <v>10973.87</v>
      </c>
      <c r="AF633">
        <f>ROUND((175/100)*ROUND(([1]Source!AE414*[1]Source!AV414)*[1]Source!I414, 2), 2)</f>
        <v>0</v>
      </c>
      <c r="AG633">
        <f>ROUND((108/100)*ROUND([1]Source!CS414*[1]Source!I414, 2), 2)</f>
        <v>0</v>
      </c>
    </row>
    <row r="634" spans="1:33" x14ac:dyDescent="0.2">
      <c r="C634" s="40" t="str">
        <f>"Объем: "&amp;[1]Source!I414&amp;"=172,2/"&amp;"100"</f>
        <v>Объем: 1,722=172,2/100</v>
      </c>
      <c r="M634"/>
      <c r="N634"/>
      <c r="O634"/>
      <c r="P634"/>
      <c r="Q634"/>
    </row>
    <row r="635" spans="1:33" ht="14.25" x14ac:dyDescent="0.2">
      <c r="A635" s="31"/>
      <c r="B635" s="31"/>
      <c r="C635" s="31" t="s">
        <v>34</v>
      </c>
      <c r="D635" s="32"/>
      <c r="E635" s="4"/>
      <c r="F635" s="33">
        <f>[1]Source!AO414</f>
        <v>379.33</v>
      </c>
      <c r="G635" s="34" t="str">
        <f>[1]Source!DG414</f>
        <v>)*1*168</v>
      </c>
      <c r="H635" s="4">
        <f>[1]Source!AV414</f>
        <v>1</v>
      </c>
      <c r="I635" s="4">
        <f>IF([1]Source!BA414&lt;&gt; 0, [1]Source!BA414, 1)</f>
        <v>1</v>
      </c>
      <c r="J635" s="33">
        <f>[1]Source!S414</f>
        <v>109738.65</v>
      </c>
      <c r="K635" s="33"/>
      <c r="M635"/>
      <c r="N635"/>
      <c r="O635"/>
      <c r="P635"/>
      <c r="Q635"/>
    </row>
    <row r="636" spans="1:33" ht="14.25" x14ac:dyDescent="0.2">
      <c r="A636" s="31"/>
      <c r="B636" s="31"/>
      <c r="C636" s="31" t="s">
        <v>40</v>
      </c>
      <c r="D636" s="32" t="s">
        <v>39</v>
      </c>
      <c r="E636" s="4">
        <f>[1]Source!AT414</f>
        <v>70</v>
      </c>
      <c r="F636" s="33"/>
      <c r="G636" s="34"/>
      <c r="H636" s="4"/>
      <c r="I636" s="4"/>
      <c r="J636" s="33">
        <f>SUM(AC633:AC635)</f>
        <v>76817.06</v>
      </c>
      <c r="K636" s="33"/>
      <c r="M636"/>
      <c r="N636"/>
      <c r="O636"/>
      <c r="P636"/>
      <c r="Q636"/>
    </row>
    <row r="637" spans="1:33" ht="14.25" x14ac:dyDescent="0.2">
      <c r="A637" s="31"/>
      <c r="B637" s="31"/>
      <c r="C637" s="31" t="s">
        <v>41</v>
      </c>
      <c r="D637" s="32" t="s">
        <v>39</v>
      </c>
      <c r="E637" s="4">
        <f>[1]Source!AU414</f>
        <v>10</v>
      </c>
      <c r="F637" s="33"/>
      <c r="G637" s="34"/>
      <c r="H637" s="4"/>
      <c r="I637" s="4"/>
      <c r="J637" s="33">
        <f>SUM(AE633:AE636)</f>
        <v>10973.87</v>
      </c>
      <c r="K637" s="33"/>
      <c r="M637"/>
      <c r="N637"/>
      <c r="O637"/>
      <c r="P637"/>
      <c r="Q637"/>
    </row>
    <row r="638" spans="1:33" ht="14.25" x14ac:dyDescent="0.2">
      <c r="A638" s="31"/>
      <c r="B638" s="31"/>
      <c r="C638" s="31" t="s">
        <v>42</v>
      </c>
      <c r="D638" s="32" t="s">
        <v>43</v>
      </c>
      <c r="E638" s="4">
        <f>[1]Source!AQ414</f>
        <v>1.53</v>
      </c>
      <c r="F638" s="33"/>
      <c r="G638" s="34" t="str">
        <f>[1]Source!DI414</f>
        <v>)*1*168</v>
      </c>
      <c r="H638" s="4">
        <f>[1]Source!AV414</f>
        <v>1</v>
      </c>
      <c r="I638" s="4"/>
      <c r="J638" s="33"/>
      <c r="K638" s="33">
        <f>[1]Source!U414</f>
        <v>442.62288000000001</v>
      </c>
      <c r="M638"/>
      <c r="N638"/>
      <c r="O638"/>
      <c r="P638"/>
      <c r="Q638"/>
    </row>
    <row r="639" spans="1:33" ht="15" x14ac:dyDescent="0.25">
      <c r="A639" s="35"/>
      <c r="B639" s="35"/>
      <c r="C639" s="35"/>
      <c r="D639" s="35"/>
      <c r="E639" s="35"/>
      <c r="F639" s="35"/>
      <c r="G639" s="35"/>
      <c r="H639" s="35"/>
      <c r="I639" s="36">
        <f>J635+J636+J637</f>
        <v>197529.58</v>
      </c>
      <c r="J639" s="36"/>
      <c r="K639" s="37">
        <f>IF([1]Source!I414&lt;&gt;0, ROUND(I639/[1]Source!I414, 2), 0)</f>
        <v>114709.4</v>
      </c>
      <c r="M639"/>
      <c r="N639"/>
      <c r="O639"/>
      <c r="P639"/>
      <c r="Q639"/>
      <c r="AA639" s="38">
        <f>I639</f>
        <v>197529.58</v>
      </c>
    </row>
    <row r="640" spans="1:33" ht="42.75" x14ac:dyDescent="0.2">
      <c r="A640" s="31">
        <v>92</v>
      </c>
      <c r="B640" s="31" t="str">
        <f>[1]Source!F415</f>
        <v>5.3-1102-8-1/1</v>
      </c>
      <c r="C640" s="31" t="str">
        <f>[1]Source!G415</f>
        <v>Уборка свежевыпавшего снега вручную толщиной слоя до 10 см ( S = 615м2* 0,8*0,3*0,5 = 73.8 м2)</v>
      </c>
      <c r="D640" s="32" t="str">
        <f>[1]Source!H415</f>
        <v>100 м2</v>
      </c>
      <c r="E640" s="4">
        <f>[1]Source!I415</f>
        <v>0.73799999999999999</v>
      </c>
      <c r="F640" s="33"/>
      <c r="G640" s="34"/>
      <c r="H640" s="4"/>
      <c r="I640" s="4"/>
      <c r="J640" s="33"/>
      <c r="K640" s="33"/>
      <c r="M640"/>
      <c r="N640"/>
      <c r="O640"/>
      <c r="P640"/>
      <c r="Q640"/>
      <c r="AB640">
        <f>ROUND(([1]Source!BZ415/100)*ROUND(([1]Source!AF415*[1]Source!AV415)*[1]Source!I415, 2), 2)</f>
        <v>55944.06</v>
      </c>
      <c r="AC640">
        <f>[1]Source!X415</f>
        <v>55944.06</v>
      </c>
      <c r="AD640">
        <f>ROUND(([1]Source!CA415/100)*ROUND(([1]Source!AF415*[1]Source!AV415)*[1]Source!I415, 2), 2)</f>
        <v>7992.01</v>
      </c>
      <c r="AE640">
        <f>[1]Source!Y415</f>
        <v>7992.01</v>
      </c>
      <c r="AF640">
        <f>ROUND((175/100)*ROUND(([1]Source!AE415*[1]Source!AV415)*[1]Source!I415, 2), 2)</f>
        <v>0</v>
      </c>
      <c r="AG640">
        <f>ROUND((108/100)*ROUND([1]Source!CS415*[1]Source!I415, 2), 2)</f>
        <v>0</v>
      </c>
    </row>
    <row r="641" spans="1:33" x14ac:dyDescent="0.2">
      <c r="C641" s="40" t="str">
        <f>"Объем: "&amp;[1]Source!I415&amp;"=73,8/"&amp;"100"</f>
        <v>Объем: 0,738=73,8/100</v>
      </c>
      <c r="M641"/>
      <c r="N641"/>
      <c r="O641"/>
      <c r="P641"/>
      <c r="Q641"/>
    </row>
    <row r="642" spans="1:33" ht="14.25" x14ac:dyDescent="0.2">
      <c r="A642" s="31"/>
      <c r="B642" s="31"/>
      <c r="C642" s="31" t="s">
        <v>34</v>
      </c>
      <c r="D642" s="32"/>
      <c r="E642" s="4"/>
      <c r="F642" s="33">
        <f>[1]Source!AO415</f>
        <v>161.15</v>
      </c>
      <c r="G642" s="34" t="str">
        <f>[1]Source!DG415</f>
        <v>)*4*168</v>
      </c>
      <c r="H642" s="4">
        <f>[1]Source!AV415</f>
        <v>1</v>
      </c>
      <c r="I642" s="4">
        <f>IF([1]Source!BA415&lt;&gt; 0, [1]Source!BA415, 1)</f>
        <v>1</v>
      </c>
      <c r="J642" s="33">
        <f>[1]Source!S415</f>
        <v>79920.09</v>
      </c>
      <c r="K642" s="33"/>
      <c r="M642"/>
      <c r="N642"/>
      <c r="O642"/>
      <c r="P642"/>
      <c r="Q642"/>
    </row>
    <row r="643" spans="1:33" ht="14.25" x14ac:dyDescent="0.2">
      <c r="A643" s="31"/>
      <c r="B643" s="31"/>
      <c r="C643" s="31" t="s">
        <v>40</v>
      </c>
      <c r="D643" s="32" t="s">
        <v>39</v>
      </c>
      <c r="E643" s="4">
        <f>[1]Source!AT415</f>
        <v>70</v>
      </c>
      <c r="F643" s="33"/>
      <c r="G643" s="34"/>
      <c r="H643" s="4"/>
      <c r="I643" s="4"/>
      <c r="J643" s="33">
        <f>SUM(AC640:AC642)</f>
        <v>55944.06</v>
      </c>
      <c r="K643" s="33"/>
      <c r="M643"/>
      <c r="N643"/>
      <c r="O643"/>
      <c r="P643"/>
      <c r="Q643"/>
    </row>
    <row r="644" spans="1:33" ht="14.25" x14ac:dyDescent="0.2">
      <c r="A644" s="31"/>
      <c r="B644" s="31"/>
      <c r="C644" s="31" t="s">
        <v>41</v>
      </c>
      <c r="D644" s="32" t="s">
        <v>39</v>
      </c>
      <c r="E644" s="4">
        <f>[1]Source!AU415</f>
        <v>10</v>
      </c>
      <c r="F644" s="33"/>
      <c r="G644" s="34"/>
      <c r="H644" s="4"/>
      <c r="I644" s="4"/>
      <c r="J644" s="33">
        <f>SUM(AE640:AE643)</f>
        <v>7992.01</v>
      </c>
      <c r="K644" s="33"/>
      <c r="M644"/>
      <c r="N644"/>
      <c r="O644"/>
      <c r="P644"/>
      <c r="Q644"/>
    </row>
    <row r="645" spans="1:33" ht="14.25" x14ac:dyDescent="0.2">
      <c r="A645" s="31"/>
      <c r="B645" s="31"/>
      <c r="C645" s="31" t="s">
        <v>42</v>
      </c>
      <c r="D645" s="32" t="s">
        <v>43</v>
      </c>
      <c r="E645" s="4">
        <f>[1]Source!AQ415</f>
        <v>0.65</v>
      </c>
      <c r="F645" s="33"/>
      <c r="G645" s="34" t="str">
        <f>[1]Source!DI415</f>
        <v>)*4*168</v>
      </c>
      <c r="H645" s="4">
        <f>[1]Source!AV415</f>
        <v>1</v>
      </c>
      <c r="I645" s="4"/>
      <c r="J645" s="33"/>
      <c r="K645" s="33">
        <f>[1]Source!U415</f>
        <v>322.35840000000002</v>
      </c>
      <c r="M645"/>
      <c r="N645"/>
      <c r="O645"/>
      <c r="P645"/>
      <c r="Q645"/>
    </row>
    <row r="646" spans="1:33" ht="15" x14ac:dyDescent="0.25">
      <c r="A646" s="35"/>
      <c r="B646" s="35"/>
      <c r="C646" s="35"/>
      <c r="D646" s="35"/>
      <c r="E646" s="35"/>
      <c r="F646" s="35"/>
      <c r="G646" s="35"/>
      <c r="H646" s="35"/>
      <c r="I646" s="36">
        <f>J642+J643+J644</f>
        <v>143856.16</v>
      </c>
      <c r="J646" s="36"/>
      <c r="K646" s="37">
        <f>IF([1]Source!I415&lt;&gt;0, ROUND(I646/[1]Source!I415, 2), 0)</f>
        <v>194927.05</v>
      </c>
      <c r="M646"/>
      <c r="N646"/>
      <c r="O646"/>
      <c r="P646"/>
      <c r="Q646"/>
      <c r="AA646" s="38">
        <f>I646</f>
        <v>143856.16</v>
      </c>
    </row>
    <row r="647" spans="1:33" ht="57" x14ac:dyDescent="0.2">
      <c r="A647" s="31">
        <v>93</v>
      </c>
      <c r="B647" s="31" t="str">
        <f>[1]Source!F416</f>
        <v>5.3-1102-8-2/1</v>
      </c>
      <c r="C647" s="31" t="str">
        <f>[1]Source!G416</f>
        <v>Уборка свежевыпавшего снега вручную, добавлять на каждые следующие 10 см увеличения толщины слоя</v>
      </c>
      <c r="D647" s="32" t="str">
        <f>[1]Source!H416</f>
        <v>100 м2</v>
      </c>
      <c r="E647" s="4">
        <f>[1]Source!I416</f>
        <v>0.73799999999999999</v>
      </c>
      <c r="F647" s="33"/>
      <c r="G647" s="34"/>
      <c r="H647" s="4"/>
      <c r="I647" s="4"/>
      <c r="J647" s="33"/>
      <c r="K647" s="33"/>
      <c r="M647"/>
      <c r="N647"/>
      <c r="O647"/>
      <c r="P647"/>
      <c r="Q647"/>
      <c r="AB647">
        <f>ROUND(([1]Source!BZ416/100)*ROUND(([1]Source!AF416*[1]Source!AV416)*[1]Source!I416, 2), 2)</f>
        <v>40453.99</v>
      </c>
      <c r="AC647">
        <f>[1]Source!X416</f>
        <v>40453.99</v>
      </c>
      <c r="AD647">
        <f>ROUND(([1]Source!CA416/100)*ROUND(([1]Source!AF416*[1]Source!AV416)*[1]Source!I416, 2), 2)</f>
        <v>5779.14</v>
      </c>
      <c r="AE647">
        <f>[1]Source!Y416</f>
        <v>5779.14</v>
      </c>
      <c r="AF647">
        <f>ROUND((175/100)*ROUND(([1]Source!AE416*[1]Source!AV416)*[1]Source!I416, 2), 2)</f>
        <v>0</v>
      </c>
      <c r="AG647">
        <f>ROUND((108/100)*ROUND([1]Source!CS416*[1]Source!I416, 2), 2)</f>
        <v>0</v>
      </c>
    </row>
    <row r="648" spans="1:33" x14ac:dyDescent="0.2">
      <c r="C648" s="40" t="str">
        <f>"Объем: "&amp;[1]Source!I416&amp;"=73,8/"&amp;"100"</f>
        <v>Объем: 0,738=73,8/100</v>
      </c>
      <c r="M648"/>
      <c r="N648"/>
      <c r="O648"/>
      <c r="P648"/>
      <c r="Q648"/>
    </row>
    <row r="649" spans="1:33" ht="14.25" x14ac:dyDescent="0.2">
      <c r="A649" s="31"/>
      <c r="B649" s="31"/>
      <c r="C649" s="31" t="s">
        <v>34</v>
      </c>
      <c r="D649" s="32"/>
      <c r="E649" s="4"/>
      <c r="F649" s="33">
        <f>[1]Source!AO416</f>
        <v>116.53</v>
      </c>
      <c r="G649" s="34" t="str">
        <f>[1]Source!DG416</f>
        <v>)*4*168</v>
      </c>
      <c r="H649" s="4">
        <f>[1]Source!AV416</f>
        <v>1</v>
      </c>
      <c r="I649" s="4">
        <f>IF([1]Source!BA416&lt;&gt; 0, [1]Source!BA416, 1)</f>
        <v>1</v>
      </c>
      <c r="J649" s="33">
        <f>[1]Source!S416</f>
        <v>57791.42</v>
      </c>
      <c r="K649" s="33"/>
      <c r="M649"/>
      <c r="N649"/>
      <c r="O649"/>
      <c r="P649"/>
      <c r="Q649"/>
    </row>
    <row r="650" spans="1:33" ht="14.25" x14ac:dyDescent="0.2">
      <c r="A650" s="31"/>
      <c r="B650" s="31"/>
      <c r="C650" s="31" t="s">
        <v>40</v>
      </c>
      <c r="D650" s="32" t="s">
        <v>39</v>
      </c>
      <c r="E650" s="4">
        <f>[1]Source!AT416</f>
        <v>70</v>
      </c>
      <c r="F650" s="33"/>
      <c r="G650" s="34"/>
      <c r="H650" s="4"/>
      <c r="I650" s="4"/>
      <c r="J650" s="33">
        <f>SUM(AC647:AC649)</f>
        <v>40453.99</v>
      </c>
      <c r="K650" s="33"/>
      <c r="M650"/>
      <c r="N650"/>
      <c r="O650"/>
      <c r="P650"/>
      <c r="Q650"/>
    </row>
    <row r="651" spans="1:33" ht="14.25" x14ac:dyDescent="0.2">
      <c r="A651" s="31"/>
      <c r="B651" s="31"/>
      <c r="C651" s="31" t="s">
        <v>41</v>
      </c>
      <c r="D651" s="32" t="s">
        <v>39</v>
      </c>
      <c r="E651" s="4">
        <f>[1]Source!AU416</f>
        <v>10</v>
      </c>
      <c r="F651" s="33"/>
      <c r="G651" s="34"/>
      <c r="H651" s="4"/>
      <c r="I651" s="4"/>
      <c r="J651" s="33">
        <f>SUM(AE647:AE650)</f>
        <v>5779.14</v>
      </c>
      <c r="K651" s="33"/>
      <c r="M651"/>
      <c r="N651"/>
      <c r="O651"/>
      <c r="P651"/>
      <c r="Q651"/>
    </row>
    <row r="652" spans="1:33" ht="14.25" x14ac:dyDescent="0.2">
      <c r="A652" s="31"/>
      <c r="B652" s="31"/>
      <c r="C652" s="31" t="s">
        <v>42</v>
      </c>
      <c r="D652" s="32" t="s">
        <v>43</v>
      </c>
      <c r="E652" s="4">
        <f>[1]Source!AQ416</f>
        <v>0.47</v>
      </c>
      <c r="F652" s="33"/>
      <c r="G652" s="34" t="str">
        <f>[1]Source!DI416</f>
        <v>)*4*168</v>
      </c>
      <c r="H652" s="4">
        <f>[1]Source!AV416</f>
        <v>1</v>
      </c>
      <c r="I652" s="4"/>
      <c r="J652" s="33"/>
      <c r="K652" s="33">
        <f>[1]Source!U416</f>
        <v>233.08991999999998</v>
      </c>
      <c r="M652"/>
      <c r="N652"/>
      <c r="O652"/>
      <c r="P652"/>
      <c r="Q652"/>
    </row>
    <row r="653" spans="1:33" ht="15" x14ac:dyDescent="0.25">
      <c r="A653" s="35"/>
      <c r="B653" s="35"/>
      <c r="C653" s="35"/>
      <c r="D653" s="35"/>
      <c r="E653" s="35"/>
      <c r="F653" s="35"/>
      <c r="G653" s="35"/>
      <c r="H653" s="35"/>
      <c r="I653" s="36">
        <f>J649+J650+J651</f>
        <v>104024.55</v>
      </c>
      <c r="J653" s="36"/>
      <c r="K653" s="37">
        <f>IF([1]Source!I416&lt;&gt;0, ROUND(I653/[1]Source!I416, 2), 0)</f>
        <v>140954.67000000001</v>
      </c>
      <c r="M653"/>
      <c r="N653"/>
      <c r="O653"/>
      <c r="P653"/>
      <c r="Q653"/>
      <c r="AA653" s="38">
        <f>I653</f>
        <v>104024.55</v>
      </c>
    </row>
    <row r="654" spans="1:33" ht="57" x14ac:dyDescent="0.2">
      <c r="A654" s="31">
        <v>94</v>
      </c>
      <c r="B654" s="31" t="str">
        <f>[1]Source!F417</f>
        <v>5.3-1102-24-1/1</v>
      </c>
      <c r="C654" s="31" t="str">
        <f>[1]Source!G417</f>
        <v>Уборка свежевыпавшего снега ручной самоходной машиной - ширина захвата 120 см ( S= 615м2*0,2=123 м2 )</v>
      </c>
      <c r="D654" s="32" t="str">
        <f>[1]Source!H417</f>
        <v>100 м2</v>
      </c>
      <c r="E654" s="4">
        <f>[1]Source!I417</f>
        <v>1.23</v>
      </c>
      <c r="F654" s="33"/>
      <c r="G654" s="34"/>
      <c r="H654" s="4"/>
      <c r="I654" s="4"/>
      <c r="J654" s="33"/>
      <c r="K654" s="33"/>
      <c r="M654"/>
      <c r="N654"/>
      <c r="O654"/>
      <c r="P654"/>
      <c r="Q654"/>
      <c r="AB654">
        <f>ROUND(([1]Source!BZ417/100)*ROUND(([1]Source!AF417*[1]Source!AV417)*[1]Source!I417, 2), 2)</f>
        <v>56158.14</v>
      </c>
      <c r="AC654">
        <f>[1]Source!X417</f>
        <v>56158.14</v>
      </c>
      <c r="AD654">
        <f>ROUND(([1]Source!CA417/100)*ROUND(([1]Source!AF417*[1]Source!AV417)*[1]Source!I417, 2), 2)</f>
        <v>8022.59</v>
      </c>
      <c r="AE654">
        <f>[1]Source!Y417</f>
        <v>8022.59</v>
      </c>
      <c r="AF654">
        <f>ROUND((175/100)*ROUND(([1]Source!AE417*[1]Source!AV417)*[1]Source!I417, 2), 2)</f>
        <v>130.18</v>
      </c>
      <c r="AG654">
        <f>ROUND((108/100)*ROUND([1]Source!CS417*[1]Source!I417, 2), 2)</f>
        <v>80.34</v>
      </c>
    </row>
    <row r="655" spans="1:33" x14ac:dyDescent="0.2">
      <c r="C655" s="40" t="str">
        <f>"Объем: "&amp;[1]Source!I417&amp;"=123/"&amp;"100"</f>
        <v>Объем: 1,23=123/100</v>
      </c>
      <c r="M655"/>
      <c r="N655"/>
      <c r="O655"/>
      <c r="P655"/>
      <c r="Q655"/>
    </row>
    <row r="656" spans="1:33" ht="14.25" x14ac:dyDescent="0.2">
      <c r="A656" s="31"/>
      <c r="B656" s="31"/>
      <c r="C656" s="31" t="s">
        <v>34</v>
      </c>
      <c r="D656" s="32"/>
      <c r="E656" s="4"/>
      <c r="F656" s="33">
        <f>[1]Source!AO417</f>
        <v>97.06</v>
      </c>
      <c r="G656" s="34" t="str">
        <f>[1]Source!DG417</f>
        <v>)*4*168</v>
      </c>
      <c r="H656" s="4">
        <f>[1]Source!AV417</f>
        <v>1</v>
      </c>
      <c r="I656" s="4">
        <f>IF([1]Source!BA417&lt;&gt; 0, [1]Source!BA417, 1)</f>
        <v>1</v>
      </c>
      <c r="J656" s="33">
        <f>[1]Source!S417</f>
        <v>80225.91</v>
      </c>
      <c r="K656" s="33"/>
      <c r="M656"/>
      <c r="N656"/>
      <c r="O656"/>
      <c r="P656"/>
      <c r="Q656"/>
    </row>
    <row r="657" spans="1:33" ht="14.25" x14ac:dyDescent="0.2">
      <c r="A657" s="31"/>
      <c r="B657" s="31"/>
      <c r="C657" s="31" t="s">
        <v>33</v>
      </c>
      <c r="D657" s="32"/>
      <c r="E657" s="4"/>
      <c r="F657" s="33">
        <f>[1]Source!AM417</f>
        <v>33.97</v>
      </c>
      <c r="G657" s="34" t="str">
        <f>[1]Source!DE417</f>
        <v>)*4*168</v>
      </c>
      <c r="H657" s="4">
        <f>[1]Source!AV417</f>
        <v>1</v>
      </c>
      <c r="I657" s="4">
        <f>IF([1]Source!BB417&lt;&gt; 0, [1]Source!BB417, 1)</f>
        <v>1</v>
      </c>
      <c r="J657" s="33">
        <f>[1]Source!Q417</f>
        <v>28078.240000000002</v>
      </c>
      <c r="K657" s="33"/>
      <c r="M657"/>
      <c r="N657"/>
      <c r="O657"/>
      <c r="P657"/>
      <c r="Q657"/>
    </row>
    <row r="658" spans="1:33" ht="14.25" x14ac:dyDescent="0.2">
      <c r="A658" s="31"/>
      <c r="B658" s="31"/>
      <c r="C658" s="31" t="s">
        <v>37</v>
      </c>
      <c r="D658" s="32"/>
      <c r="E658" s="4"/>
      <c r="F658" s="33">
        <f>[1]Source!AN417</f>
        <v>0.09</v>
      </c>
      <c r="G658" s="34" t="str">
        <f>[1]Source!DF417</f>
        <v>)*4*168</v>
      </c>
      <c r="H658" s="4">
        <f>[1]Source!AV417</f>
        <v>1</v>
      </c>
      <c r="I658" s="4">
        <f>IF([1]Source!BS417&lt;&gt; 0, [1]Source!BS417, 1)</f>
        <v>1</v>
      </c>
      <c r="J658" s="41">
        <f>[1]Source!R417</f>
        <v>74.39</v>
      </c>
      <c r="K658" s="33"/>
      <c r="M658"/>
      <c r="N658"/>
      <c r="O658"/>
      <c r="P658"/>
      <c r="Q658"/>
    </row>
    <row r="659" spans="1:33" ht="14.25" x14ac:dyDescent="0.2">
      <c r="A659" s="31"/>
      <c r="B659" s="31"/>
      <c r="C659" s="31" t="s">
        <v>40</v>
      </c>
      <c r="D659" s="32" t="s">
        <v>39</v>
      </c>
      <c r="E659" s="4">
        <f>[1]Source!AT417</f>
        <v>70</v>
      </c>
      <c r="F659" s="33"/>
      <c r="G659" s="34"/>
      <c r="H659" s="4"/>
      <c r="I659" s="4"/>
      <c r="J659" s="33">
        <f>SUM(AC654:AC658)</f>
        <v>56158.14</v>
      </c>
      <c r="K659" s="33"/>
      <c r="M659"/>
      <c r="N659"/>
      <c r="O659"/>
      <c r="P659"/>
      <c r="Q659"/>
    </row>
    <row r="660" spans="1:33" ht="14.25" x14ac:dyDescent="0.2">
      <c r="A660" s="31"/>
      <c r="B660" s="31"/>
      <c r="C660" s="31" t="s">
        <v>41</v>
      </c>
      <c r="D660" s="32" t="s">
        <v>39</v>
      </c>
      <c r="E660" s="4">
        <f>[1]Source!AU417</f>
        <v>10</v>
      </c>
      <c r="F660" s="33"/>
      <c r="G660" s="34"/>
      <c r="H660" s="4"/>
      <c r="I660" s="4"/>
      <c r="J660" s="33">
        <f>SUM(AE654:AE659)</f>
        <v>8022.59</v>
      </c>
      <c r="K660" s="33"/>
      <c r="M660"/>
      <c r="N660"/>
      <c r="O660"/>
      <c r="P660"/>
      <c r="Q660"/>
    </row>
    <row r="661" spans="1:33" ht="14.25" x14ac:dyDescent="0.2">
      <c r="A661" s="31"/>
      <c r="B661" s="31"/>
      <c r="C661" s="31" t="s">
        <v>38</v>
      </c>
      <c r="D661" s="32" t="s">
        <v>39</v>
      </c>
      <c r="E661" s="4">
        <f>108</f>
        <v>108</v>
      </c>
      <c r="F661" s="33"/>
      <c r="G661" s="34"/>
      <c r="H661" s="4"/>
      <c r="I661" s="4"/>
      <c r="J661" s="33">
        <f>SUM(AG654:AG660)</f>
        <v>80.34</v>
      </c>
      <c r="K661" s="33"/>
      <c r="M661"/>
      <c r="N661"/>
      <c r="O661"/>
      <c r="P661"/>
      <c r="Q661"/>
    </row>
    <row r="662" spans="1:33" ht="14.25" x14ac:dyDescent="0.2">
      <c r="A662" s="31"/>
      <c r="B662" s="31"/>
      <c r="C662" s="31" t="s">
        <v>42</v>
      </c>
      <c r="D662" s="32" t="s">
        <v>43</v>
      </c>
      <c r="E662" s="4">
        <f>[1]Source!AQ417</f>
        <v>0.35</v>
      </c>
      <c r="F662" s="33"/>
      <c r="G662" s="34" t="str">
        <f>[1]Source!DI417</f>
        <v>)*4*168</v>
      </c>
      <c r="H662" s="4">
        <f>[1]Source!AV417</f>
        <v>1</v>
      </c>
      <c r="I662" s="4"/>
      <c r="J662" s="33"/>
      <c r="K662" s="33">
        <f>[1]Source!U417</f>
        <v>289.29599999999999</v>
      </c>
      <c r="M662"/>
      <c r="N662"/>
      <c r="O662"/>
      <c r="P662"/>
      <c r="Q662"/>
    </row>
    <row r="663" spans="1:33" ht="15" x14ac:dyDescent="0.25">
      <c r="A663" s="35"/>
      <c r="B663" s="35"/>
      <c r="C663" s="35"/>
      <c r="D663" s="35"/>
      <c r="E663" s="35"/>
      <c r="F663" s="35"/>
      <c r="G663" s="35"/>
      <c r="H663" s="35"/>
      <c r="I663" s="36">
        <f>J656+J657+J659+J660+J661</f>
        <v>172565.22</v>
      </c>
      <c r="J663" s="36"/>
      <c r="K663" s="37">
        <f>IF([1]Source!I417&lt;&gt;0, ROUND(I663/[1]Source!I417, 2), 0)</f>
        <v>140296.93</v>
      </c>
      <c r="M663"/>
      <c r="N663"/>
      <c r="O663"/>
      <c r="P663"/>
      <c r="Q663"/>
      <c r="AA663" s="38">
        <f>I663</f>
        <v>172565.22</v>
      </c>
    </row>
    <row r="664" spans="1:33" ht="42.75" x14ac:dyDescent="0.2">
      <c r="A664" s="31">
        <v>95</v>
      </c>
      <c r="B664" s="31" t="str">
        <f>[1]Source!F418</f>
        <v>5.3-1102-9-1/1</v>
      </c>
      <c r="C664" s="31" t="str">
        <f>[1]Source!G418</f>
        <v>Колка льда на обледеневших покрытиях вручную ( S=615 м2*0,8*0,3*0,5= 73.8 м2)</v>
      </c>
      <c r="D664" s="32" t="str">
        <f>[1]Source!H418</f>
        <v>100 м2</v>
      </c>
      <c r="E664" s="4">
        <f>[1]Source!I418</f>
        <v>0.73799999999999999</v>
      </c>
      <c r="F664" s="33"/>
      <c r="G664" s="34"/>
      <c r="H664" s="4"/>
      <c r="I664" s="4"/>
      <c r="J664" s="33"/>
      <c r="K664" s="33"/>
      <c r="M664"/>
      <c r="N664"/>
      <c r="O664"/>
      <c r="P664"/>
      <c r="Q664"/>
      <c r="AB664">
        <f>ROUND(([1]Source!BZ418/100)*ROUND(([1]Source!AF418*[1]Source!AV418)*[1]Source!I418, 2), 2)</f>
        <v>103714.35</v>
      </c>
      <c r="AC664">
        <f>[1]Source!X418</f>
        <v>103714.35</v>
      </c>
      <c r="AD664">
        <f>ROUND(([1]Source!CA418/100)*ROUND(([1]Source!AF418*[1]Source!AV418)*[1]Source!I418, 2), 2)</f>
        <v>14816.34</v>
      </c>
      <c r="AE664">
        <f>[1]Source!Y418</f>
        <v>14816.34</v>
      </c>
      <c r="AF664">
        <f>ROUND((175/100)*ROUND(([1]Source!AE418*[1]Source!AV418)*[1]Source!I418, 2), 2)</f>
        <v>0</v>
      </c>
      <c r="AG664">
        <f>ROUND((108/100)*ROUND([1]Source!CS418*[1]Source!I418, 2), 2)</f>
        <v>0</v>
      </c>
    </row>
    <row r="665" spans="1:33" x14ac:dyDescent="0.2">
      <c r="C665" s="40" t="str">
        <f>"Объем: "&amp;[1]Source!I418&amp;"=73,8/"&amp;"100"</f>
        <v>Объем: 0,738=73,8/100</v>
      </c>
      <c r="M665"/>
      <c r="N665"/>
      <c r="O665"/>
      <c r="P665"/>
      <c r="Q665"/>
    </row>
    <row r="666" spans="1:33" ht="14.25" x14ac:dyDescent="0.2">
      <c r="A666" s="31"/>
      <c r="B666" s="31"/>
      <c r="C666" s="31" t="s">
        <v>34</v>
      </c>
      <c r="D666" s="32"/>
      <c r="E666" s="4"/>
      <c r="F666" s="33">
        <f>[1]Source!AO418</f>
        <v>597.51</v>
      </c>
      <c r="G666" s="34" t="str">
        <f>[1]Source!DG418</f>
        <v>)*2*168</v>
      </c>
      <c r="H666" s="4">
        <f>[1]Source!AV418</f>
        <v>1</v>
      </c>
      <c r="I666" s="4">
        <f>IF([1]Source!BA418&lt;&gt; 0, [1]Source!BA418, 1)</f>
        <v>1</v>
      </c>
      <c r="J666" s="33">
        <f>[1]Source!S418</f>
        <v>148163.35999999999</v>
      </c>
      <c r="K666" s="33"/>
      <c r="M666"/>
      <c r="N666"/>
      <c r="O666"/>
      <c r="P666"/>
      <c r="Q666"/>
    </row>
    <row r="667" spans="1:33" ht="14.25" x14ac:dyDescent="0.2">
      <c r="A667" s="31"/>
      <c r="B667" s="31"/>
      <c r="C667" s="31" t="s">
        <v>40</v>
      </c>
      <c r="D667" s="32" t="s">
        <v>39</v>
      </c>
      <c r="E667" s="4">
        <f>[1]Source!AT418</f>
        <v>70</v>
      </c>
      <c r="F667" s="33"/>
      <c r="G667" s="34"/>
      <c r="H667" s="4"/>
      <c r="I667" s="4"/>
      <c r="J667" s="33">
        <f>SUM(AC664:AC666)</f>
        <v>103714.35</v>
      </c>
      <c r="K667" s="33"/>
      <c r="M667"/>
      <c r="N667"/>
      <c r="O667"/>
      <c r="P667"/>
      <c r="Q667"/>
    </row>
    <row r="668" spans="1:33" ht="14.25" x14ac:dyDescent="0.2">
      <c r="A668" s="31"/>
      <c r="B668" s="31"/>
      <c r="C668" s="31" t="s">
        <v>41</v>
      </c>
      <c r="D668" s="32" t="s">
        <v>39</v>
      </c>
      <c r="E668" s="4">
        <f>[1]Source!AU418</f>
        <v>10</v>
      </c>
      <c r="F668" s="33"/>
      <c r="G668" s="34"/>
      <c r="H668" s="4"/>
      <c r="I668" s="4"/>
      <c r="J668" s="33">
        <f>SUM(AE664:AE667)</f>
        <v>14816.34</v>
      </c>
      <c r="K668" s="33"/>
      <c r="M668"/>
      <c r="N668"/>
      <c r="O668"/>
      <c r="P668"/>
      <c r="Q668"/>
    </row>
    <row r="669" spans="1:33" ht="14.25" x14ac:dyDescent="0.2">
      <c r="A669" s="31"/>
      <c r="B669" s="31"/>
      <c r="C669" s="31" t="s">
        <v>42</v>
      </c>
      <c r="D669" s="32" t="s">
        <v>43</v>
      </c>
      <c r="E669" s="4">
        <f>[1]Source!AQ418</f>
        <v>2.41</v>
      </c>
      <c r="F669" s="33"/>
      <c r="G669" s="34" t="str">
        <f>[1]Source!DI418</f>
        <v>)*2*168</v>
      </c>
      <c r="H669" s="4">
        <f>[1]Source!AV418</f>
        <v>1</v>
      </c>
      <c r="I669" s="4"/>
      <c r="J669" s="33"/>
      <c r="K669" s="33">
        <f>[1]Source!U418</f>
        <v>597.60288000000003</v>
      </c>
      <c r="M669"/>
      <c r="N669"/>
      <c r="O669"/>
      <c r="P669"/>
      <c r="Q669"/>
    </row>
    <row r="670" spans="1:33" ht="15" x14ac:dyDescent="0.25">
      <c r="A670" s="35"/>
      <c r="B670" s="35"/>
      <c r="C670" s="35"/>
      <c r="D670" s="35"/>
      <c r="E670" s="35"/>
      <c r="F670" s="35"/>
      <c r="G670" s="35"/>
      <c r="H670" s="35"/>
      <c r="I670" s="36">
        <f>J666+J667+J668</f>
        <v>266694.05</v>
      </c>
      <c r="J670" s="36"/>
      <c r="K670" s="37">
        <f>IF([1]Source!I418&lt;&gt;0, ROUND(I670/[1]Source!I418, 2), 0)</f>
        <v>361374.05</v>
      </c>
      <c r="M670"/>
      <c r="N670"/>
      <c r="O670"/>
      <c r="P670"/>
      <c r="Q670"/>
      <c r="AA670" s="38">
        <f>I670</f>
        <v>266694.05</v>
      </c>
    </row>
    <row r="671" spans="1:33" ht="28.5" x14ac:dyDescent="0.2">
      <c r="A671" s="31">
        <v>96</v>
      </c>
      <c r="B671" s="31" t="str">
        <f>[1]Source!F419</f>
        <v>калькуляция</v>
      </c>
      <c r="C671" s="31" t="str">
        <f>[1]Source!G419</f>
        <v>Посыпка гранитной крошкой  дорожных покрытий вручную( 100г/м2 )</v>
      </c>
      <c r="D671" s="32" t="str">
        <f>[1]Source!H419</f>
        <v>м2</v>
      </c>
      <c r="E671" s="4">
        <f>[1]Source!I419</f>
        <v>615</v>
      </c>
      <c r="F671" s="33"/>
      <c r="G671" s="34"/>
      <c r="H671" s="4"/>
      <c r="I671" s="4"/>
      <c r="J671" s="33"/>
      <c r="K671" s="33"/>
      <c r="M671"/>
      <c r="N671"/>
      <c r="O671"/>
      <c r="P671"/>
      <c r="Q671"/>
      <c r="AB671">
        <f>ROUND(([1]Source!BZ419/100)*ROUND(([1]Source!AF419*[1]Source!AV419)*[1]Source!I419, 2), 2)</f>
        <v>0</v>
      </c>
      <c r="AC671">
        <f>[1]Source!X419</f>
        <v>0</v>
      </c>
      <c r="AD671">
        <f>ROUND(([1]Source!CA419/100)*ROUND(([1]Source!AF419*[1]Source!AV419)*[1]Source!I419, 2), 2)</f>
        <v>0</v>
      </c>
      <c r="AE671">
        <f>[1]Source!Y419</f>
        <v>0</v>
      </c>
      <c r="AF671">
        <f>ROUND((175/100)*ROUND(([1]Source!AE419*[1]Source!AV419)*[1]Source!I419, 2), 2)</f>
        <v>0</v>
      </c>
      <c r="AG671">
        <f>ROUND((108/100)*ROUND([1]Source!CS419*[1]Source!I419, 2), 2)</f>
        <v>0</v>
      </c>
    </row>
    <row r="672" spans="1:33" ht="14.25" x14ac:dyDescent="0.2">
      <c r="A672" s="31"/>
      <c r="B672" s="31"/>
      <c r="C672" s="31" t="s">
        <v>34</v>
      </c>
      <c r="D672" s="32"/>
      <c r="E672" s="4"/>
      <c r="F672" s="33">
        <f>[1]Source!AO419</f>
        <v>2.08</v>
      </c>
      <c r="G672" s="34" t="str">
        <f>[1]Source!DG419</f>
        <v>)*4*168</v>
      </c>
      <c r="H672" s="4">
        <f>[1]Source!AV419</f>
        <v>1</v>
      </c>
      <c r="I672" s="4">
        <f>IF([1]Source!BA419&lt;&gt; 0, [1]Source!BA419, 1)</f>
        <v>1</v>
      </c>
      <c r="J672" s="33">
        <f>[1]Source!S419</f>
        <v>859622.40000000002</v>
      </c>
      <c r="K672" s="33"/>
      <c r="M672"/>
      <c r="N672"/>
      <c r="O672"/>
      <c r="P672"/>
      <c r="Q672"/>
    </row>
    <row r="673" spans="1:43" ht="14.25" x14ac:dyDescent="0.2">
      <c r="A673" s="31" t="s">
        <v>62</v>
      </c>
      <c r="B673" s="31" t="str">
        <f>[1]Source!F420</f>
        <v>цена поставщика</v>
      </c>
      <c r="C673" s="31" t="str">
        <f>[1]Source!G420</f>
        <v>Крошка гранитная</v>
      </c>
      <c r="D673" s="32" t="str">
        <f>[1]Source!H420</f>
        <v>кг</v>
      </c>
      <c r="E673" s="4">
        <f>[1]Source!I420</f>
        <v>41328</v>
      </c>
      <c r="F673" s="33">
        <f>[1]Source!AK420</f>
        <v>4.43</v>
      </c>
      <c r="G673" s="39" t="s">
        <v>45</v>
      </c>
      <c r="H673" s="4">
        <f>[1]Source!AW420</f>
        <v>1</v>
      </c>
      <c r="I673" s="4">
        <f>IF([1]Source!BC420&lt;&gt; 0, [1]Source!BC420, 1)</f>
        <v>1</v>
      </c>
      <c r="J673" s="33">
        <f>[1]Source!O420</f>
        <v>183083.04</v>
      </c>
      <c r="K673" s="33"/>
      <c r="M673"/>
      <c r="N673"/>
      <c r="O673"/>
      <c r="P673"/>
      <c r="Q673"/>
      <c r="AB673">
        <f>ROUND(([1]Source!BZ420/100)*ROUND(([1]Source!AF420*[1]Source!AV420)*[1]Source!I420, 2), 2)</f>
        <v>0</v>
      </c>
      <c r="AC673">
        <f>[1]Source!X420</f>
        <v>0</v>
      </c>
      <c r="AD673">
        <f>ROUND(([1]Source!CA420/100)*ROUND(([1]Source!AF420*[1]Source!AV420)*[1]Source!I420, 2), 2)</f>
        <v>0</v>
      </c>
      <c r="AE673">
        <f>[1]Source!Y420</f>
        <v>0</v>
      </c>
      <c r="AF673">
        <f>ROUND((175/100)*ROUND(([1]Source!AE420*[1]Source!AV420)*[1]Source!I420, 2), 2)</f>
        <v>0</v>
      </c>
      <c r="AG673">
        <f>ROUND((108/100)*ROUND([1]Source!CS420*[1]Source!I420, 2), 2)</f>
        <v>0</v>
      </c>
    </row>
    <row r="674" spans="1:43" ht="15" x14ac:dyDescent="0.25">
      <c r="A674" s="35"/>
      <c r="B674" s="35"/>
      <c r="C674" s="35"/>
      <c r="D674" s="35"/>
      <c r="E674" s="35"/>
      <c r="F674" s="35"/>
      <c r="G674" s="35"/>
      <c r="H674" s="35"/>
      <c r="I674" s="36">
        <f>J672+SUM(J673:J673)</f>
        <v>1042705.4400000001</v>
      </c>
      <c r="J674" s="36"/>
      <c r="K674" s="37">
        <f>IF([1]Source!I419&lt;&gt;0, ROUND(I674/[1]Source!I419, 2), 0)</f>
        <v>1695.46</v>
      </c>
      <c r="M674"/>
      <c r="N674"/>
      <c r="O674"/>
      <c r="P674"/>
      <c r="Q674"/>
      <c r="AA674" s="38">
        <f>I674</f>
        <v>1042705.4400000001</v>
      </c>
    </row>
    <row r="675" spans="1:43" ht="28.5" x14ac:dyDescent="0.2">
      <c r="A675" s="31">
        <v>97</v>
      </c>
      <c r="B675" s="31" t="str">
        <f>[1]Source!F421</f>
        <v>5.4-1201-1-1/1</v>
      </c>
      <c r="C675" s="31" t="str">
        <f>[1]Source!G421</f>
        <v>Сбор случайного мусора по территории</v>
      </c>
      <c r="D675" s="32" t="str">
        <f>[1]Source!H421</f>
        <v>100 м2</v>
      </c>
      <c r="E675" s="4">
        <f>[1]Source!I421</f>
        <v>6.15</v>
      </c>
      <c r="F675" s="33"/>
      <c r="G675" s="34"/>
      <c r="H675" s="4"/>
      <c r="I675" s="4"/>
      <c r="J675" s="33"/>
      <c r="K675" s="33"/>
      <c r="M675"/>
      <c r="N675"/>
      <c r="O675"/>
      <c r="P675"/>
      <c r="Q675"/>
      <c r="AB675">
        <f>ROUND(([1]Source!BZ421/100)*ROUND(([1]Source!AF421*[1]Source!AV421)*[1]Source!I421, 2), 2)</f>
        <v>70891.3</v>
      </c>
      <c r="AC675">
        <f>[1]Source!X421</f>
        <v>70891.3</v>
      </c>
      <c r="AD675">
        <f>ROUND(([1]Source!CA421/100)*ROUND(([1]Source!AF421*[1]Source!AV421)*[1]Source!I421, 2), 2)</f>
        <v>10127.33</v>
      </c>
      <c r="AE675">
        <f>[1]Source!Y421</f>
        <v>10127.33</v>
      </c>
      <c r="AF675">
        <f>ROUND((175/100)*ROUND(([1]Source!AE421*[1]Source!AV421)*[1]Source!I421, 2), 2)</f>
        <v>0</v>
      </c>
      <c r="AG675">
        <f>ROUND((108/100)*ROUND([1]Source!CS421*[1]Source!I421, 2), 2)</f>
        <v>0</v>
      </c>
    </row>
    <row r="676" spans="1:43" x14ac:dyDescent="0.2">
      <c r="C676" s="40" t="str">
        <f>"Объем: "&amp;[1]Source!I421&amp;"=615/"&amp;"100"</f>
        <v>Объем: 6,15=615/100</v>
      </c>
      <c r="M676"/>
      <c r="N676"/>
      <c r="O676"/>
      <c r="P676"/>
      <c r="Q676"/>
    </row>
    <row r="677" spans="1:43" ht="14.25" x14ac:dyDescent="0.2">
      <c r="A677" s="31"/>
      <c r="B677" s="31"/>
      <c r="C677" s="31" t="s">
        <v>34</v>
      </c>
      <c r="D677" s="32"/>
      <c r="E677" s="4"/>
      <c r="F677" s="33">
        <f>[1]Source!AO421</f>
        <v>12.4</v>
      </c>
      <c r="G677" s="34" t="str">
        <f>[1]Source!DG421</f>
        <v>)*4*332</v>
      </c>
      <c r="H677" s="4">
        <f>[1]Source!AV421</f>
        <v>1</v>
      </c>
      <c r="I677" s="4">
        <f>IF([1]Source!BA421&lt;&gt; 0, [1]Source!BA421, 1)</f>
        <v>1</v>
      </c>
      <c r="J677" s="33">
        <f>[1]Source!S421</f>
        <v>101273.28</v>
      </c>
      <c r="K677" s="33"/>
      <c r="M677"/>
      <c r="N677"/>
      <c r="O677"/>
      <c r="P677"/>
      <c r="Q677"/>
    </row>
    <row r="678" spans="1:43" ht="14.25" x14ac:dyDescent="0.2">
      <c r="A678" s="31"/>
      <c r="B678" s="31"/>
      <c r="C678" s="31" t="s">
        <v>47</v>
      </c>
      <c r="D678" s="32"/>
      <c r="E678" s="4"/>
      <c r="F678" s="33">
        <f>[1]Source!AL421</f>
        <v>0.69</v>
      </c>
      <c r="G678" s="34" t="str">
        <f>[1]Source!DD421</f>
        <v>)*4*332</v>
      </c>
      <c r="H678" s="4">
        <f>[1]Source!AW421</f>
        <v>1</v>
      </c>
      <c r="I678" s="4">
        <f>IF([1]Source!BC421&lt;&gt; 0, [1]Source!BC421, 1)</f>
        <v>1</v>
      </c>
      <c r="J678" s="33">
        <f>[1]Source!P421</f>
        <v>5635.37</v>
      </c>
      <c r="K678" s="33"/>
      <c r="M678"/>
      <c r="N678"/>
      <c r="O678"/>
      <c r="P678"/>
      <c r="Q678"/>
    </row>
    <row r="679" spans="1:43" ht="14.25" x14ac:dyDescent="0.2">
      <c r="A679" s="31"/>
      <c r="B679" s="31"/>
      <c r="C679" s="31" t="s">
        <v>40</v>
      </c>
      <c r="D679" s="32" t="s">
        <v>39</v>
      </c>
      <c r="E679" s="4">
        <f>[1]Source!AT421</f>
        <v>70</v>
      </c>
      <c r="F679" s="33"/>
      <c r="G679" s="34"/>
      <c r="H679" s="4"/>
      <c r="I679" s="4"/>
      <c r="J679" s="33">
        <f>SUM(AC675:AC678)</f>
        <v>70891.3</v>
      </c>
      <c r="K679" s="33"/>
      <c r="M679"/>
      <c r="N679"/>
      <c r="O679"/>
      <c r="P679"/>
      <c r="Q679"/>
    </row>
    <row r="680" spans="1:43" ht="14.25" x14ac:dyDescent="0.2">
      <c r="A680" s="31"/>
      <c r="B680" s="31"/>
      <c r="C680" s="31" t="s">
        <v>41</v>
      </c>
      <c r="D680" s="32" t="s">
        <v>39</v>
      </c>
      <c r="E680" s="4">
        <f>[1]Source!AU421</f>
        <v>10</v>
      </c>
      <c r="F680" s="33"/>
      <c r="G680" s="34"/>
      <c r="H680" s="4"/>
      <c r="I680" s="4"/>
      <c r="J680" s="33">
        <f>SUM(AE675:AE679)</f>
        <v>10127.33</v>
      </c>
      <c r="K680" s="33"/>
      <c r="M680"/>
      <c r="N680"/>
      <c r="O680"/>
      <c r="P680"/>
      <c r="Q680"/>
    </row>
    <row r="681" spans="1:43" ht="14.25" x14ac:dyDescent="0.2">
      <c r="A681" s="31"/>
      <c r="B681" s="31"/>
      <c r="C681" s="31" t="s">
        <v>42</v>
      </c>
      <c r="D681" s="32" t="s">
        <v>43</v>
      </c>
      <c r="E681" s="4">
        <f>[1]Source!AQ421</f>
        <v>0.05</v>
      </c>
      <c r="F681" s="33"/>
      <c r="G681" s="34" t="str">
        <f>[1]Source!DI421</f>
        <v>)*4*332</v>
      </c>
      <c r="H681" s="4">
        <f>[1]Source!AV421</f>
        <v>1</v>
      </c>
      <c r="I681" s="4"/>
      <c r="J681" s="33"/>
      <c r="K681" s="33">
        <f>[1]Source!U421</f>
        <v>408.36000000000007</v>
      </c>
      <c r="M681"/>
      <c r="N681"/>
      <c r="O681"/>
      <c r="P681"/>
      <c r="Q681"/>
    </row>
    <row r="682" spans="1:43" ht="15" x14ac:dyDescent="0.25">
      <c r="A682" s="35"/>
      <c r="B682" s="35"/>
      <c r="C682" s="35"/>
      <c r="D682" s="35"/>
      <c r="E682" s="35"/>
      <c r="F682" s="35"/>
      <c r="G682" s="35"/>
      <c r="H682" s="35"/>
      <c r="I682" s="36">
        <f>J677+J678+J679+J680</f>
        <v>187927.28</v>
      </c>
      <c r="J682" s="36"/>
      <c r="K682" s="37">
        <f>IF([1]Source!I421&lt;&gt;0, ROUND(I682/[1]Source!I421, 2), 0)</f>
        <v>30557.279999999999</v>
      </c>
      <c r="M682"/>
      <c r="N682"/>
      <c r="O682"/>
      <c r="P682"/>
      <c r="Q682"/>
      <c r="AA682" s="38">
        <f>I682</f>
        <v>187927.28</v>
      </c>
    </row>
    <row r="683" spans="1:43" x14ac:dyDescent="0.2">
      <c r="M683"/>
      <c r="N683"/>
      <c r="O683"/>
      <c r="P683"/>
      <c r="Q683"/>
    </row>
    <row r="684" spans="1:43" ht="30" x14ac:dyDescent="0.25">
      <c r="A684" s="42" t="str">
        <f>CONCATENATE("Итого по разделу: ",IF([1]Source!G423&lt;&gt;"Новый раздел", [1]Source!G423, ""))</f>
        <v>Итого по разделу: Содержание садово-парковых дорожных покрытий из гравийной крошки с разным уровнем уклона поверхности( S=615 м2 ).</v>
      </c>
      <c r="B684" s="42"/>
      <c r="C684" s="42"/>
      <c r="D684" s="42"/>
      <c r="E684" s="42"/>
      <c r="F684" s="42"/>
      <c r="G684" s="42"/>
      <c r="H684" s="42"/>
      <c r="I684" s="43">
        <f>SUM(AA622:AA683)</f>
        <v>2983507.44</v>
      </c>
      <c r="J684" s="44"/>
      <c r="K684" s="47"/>
      <c r="L684" s="38">
        <f>I684</f>
        <v>2983507.44</v>
      </c>
      <c r="M684" s="2">
        <f>ROUND(I684*$I$4874,2)</f>
        <v>2154709.5</v>
      </c>
      <c r="N684" s="2">
        <f>ROUND(M684*1.2/105*100,2)</f>
        <v>2462525.14</v>
      </c>
      <c r="O684" s="2">
        <f>ROUND(N684*0.05,2)</f>
        <v>123126.26</v>
      </c>
      <c r="P684" s="2">
        <f>N684+O684</f>
        <v>2585651.4</v>
      </c>
      <c r="Q684" s="3">
        <v>21</v>
      </c>
      <c r="R684">
        <v>2</v>
      </c>
      <c r="S684" s="2">
        <v>474102.24</v>
      </c>
      <c r="AQ684" s="46" t="str">
        <f>CONCATENATE("Итого по разделу: ",IF([1]Source!G423&lt;&gt;"Новый раздел", [1]Source!G423, ""))</f>
        <v>Итого по разделу: Содержание садово-парковых дорожных покрытий из гравийной крошки с разным уровнем уклона поверхности( S=615 м2 ).</v>
      </c>
    </row>
    <row r="685" spans="1:43" x14ac:dyDescent="0.2">
      <c r="M685"/>
      <c r="N685"/>
      <c r="O685"/>
      <c r="P685"/>
      <c r="Q685"/>
    </row>
    <row r="686" spans="1:43" x14ac:dyDescent="0.2">
      <c r="M686"/>
      <c r="N686"/>
      <c r="O686"/>
      <c r="P686"/>
      <c r="Q686"/>
    </row>
    <row r="687" spans="1:43" ht="33" x14ac:dyDescent="0.25">
      <c r="A687" s="29" t="str">
        <f>CONCATENATE("Раздел: ",IF([1]Source!G453&lt;&gt;"Новый раздел", [1]Source!G453, ""))</f>
        <v>Раздел: Северный тоннель( S=1534,28 м2 , в т.ч. : покрытия напольные гранитные-1258,33 м2, площадки гранитные -147,5 м2, ступени гранитные-26,95 м2, пандус-70,0 м2, парапет-31,5 м2)</v>
      </c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M687"/>
      <c r="N687"/>
      <c r="O687"/>
      <c r="P687"/>
      <c r="Q687"/>
      <c r="AP687" s="30" t="str">
        <f>CONCATENATE("Раздел: ",IF([1]Source!G453&lt;&gt;"Новый раздел", [1]Source!G453, ""))</f>
        <v>Раздел: Северный тоннель( S=1534,28 м2 , в т.ч. : покрытия напольные гранитные-1258,33 м2, площадки гранитные -147,5 м2, ступени гранитные-26,95 м2, пандус-70,0 м2, парапет-31,5 м2)</v>
      </c>
    </row>
    <row r="688" spans="1:43" x14ac:dyDescent="0.2">
      <c r="M688"/>
      <c r="N688"/>
      <c r="O688"/>
      <c r="P688"/>
      <c r="Q688"/>
    </row>
    <row r="689" spans="1:33" ht="16.5" x14ac:dyDescent="0.25">
      <c r="A689" s="29" t="str">
        <f>CONCATENATE("Подраздел: ",IF([1]Source!G457&lt;&gt;"Новый подраздел", [1]Source!G457, ""))</f>
        <v>Подраздел: Уход за напольными покрытиями ( S= 1258,33 м2 )</v>
      </c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M689"/>
      <c r="N689"/>
      <c r="O689"/>
      <c r="P689"/>
      <c r="Q689"/>
    </row>
    <row r="690" spans="1:33" ht="42.75" x14ac:dyDescent="0.2">
      <c r="A690" s="31">
        <v>98</v>
      </c>
      <c r="B690" s="31" t="str">
        <f>[1]Source!F461</f>
        <v>калькуляция</v>
      </c>
      <c r="C690" s="31" t="str">
        <f>[1]Source!G461</f>
        <v>Подметание дорожек механизированным способом ( S=1258,33 м2)</v>
      </c>
      <c r="D690" s="32" t="str">
        <f>[1]Source!H461</f>
        <v>м2</v>
      </c>
      <c r="E690" s="4">
        <f>[1]Source!I461</f>
        <v>1258.33</v>
      </c>
      <c r="F690" s="33"/>
      <c r="G690" s="34"/>
      <c r="H690" s="4"/>
      <c r="I690" s="4"/>
      <c r="J690" s="33"/>
      <c r="K690" s="33"/>
      <c r="M690"/>
      <c r="N690"/>
      <c r="O690"/>
      <c r="P690"/>
      <c r="Q690"/>
      <c r="AB690">
        <f>ROUND(([1]Source!BZ461/100)*ROUND(([1]Source!AF461*[1]Source!AV461)*[1]Source!I461, 2), 2)</f>
        <v>0</v>
      </c>
      <c r="AC690">
        <f>[1]Source!X461</f>
        <v>0</v>
      </c>
      <c r="AD690">
        <f>ROUND(([1]Source!CA461/100)*ROUND(([1]Source!AF461*[1]Source!AV461)*[1]Source!I461, 2), 2)</f>
        <v>0</v>
      </c>
      <c r="AE690">
        <f>[1]Source!Y461</f>
        <v>0</v>
      </c>
      <c r="AF690">
        <f>ROUND((175/100)*ROUND(([1]Source!AE461*[1]Source!AV461)*[1]Source!I461, 2), 2)</f>
        <v>0</v>
      </c>
      <c r="AG690">
        <f>ROUND((108/100)*ROUND([1]Source!CS461*[1]Source!I461, 2), 2)</f>
        <v>0</v>
      </c>
    </row>
    <row r="691" spans="1:33" ht="14.25" x14ac:dyDescent="0.2">
      <c r="A691" s="31"/>
      <c r="B691" s="31"/>
      <c r="C691" s="31" t="s">
        <v>33</v>
      </c>
      <c r="D691" s="32"/>
      <c r="E691" s="4"/>
      <c r="F691" s="33">
        <f>[1]Source!AM461</f>
        <v>0.65</v>
      </c>
      <c r="G691" s="34" t="str">
        <f>[1]Source!DE461</f>
        <v>)*4*164</v>
      </c>
      <c r="H691" s="4">
        <f>[1]Source!AV461</f>
        <v>1</v>
      </c>
      <c r="I691" s="4">
        <f>IF([1]Source!BB461&lt;&gt; 0, [1]Source!BB461, 1)</f>
        <v>1</v>
      </c>
      <c r="J691" s="33">
        <f>[1]Source!Q461</f>
        <v>536551.91</v>
      </c>
      <c r="K691" s="33"/>
      <c r="M691"/>
      <c r="N691"/>
      <c r="O691"/>
      <c r="P691"/>
      <c r="Q691"/>
    </row>
    <row r="692" spans="1:33" ht="15" x14ac:dyDescent="0.25">
      <c r="A692" s="35"/>
      <c r="B692" s="35"/>
      <c r="C692" s="35"/>
      <c r="D692" s="35"/>
      <c r="E692" s="35"/>
      <c r="F692" s="35"/>
      <c r="G692" s="35"/>
      <c r="H692" s="35"/>
      <c r="I692" s="36">
        <f>J691</f>
        <v>536551.91</v>
      </c>
      <c r="J692" s="36"/>
      <c r="K692" s="37">
        <f>IF([1]Source!I461&lt;&gt;0, ROUND(I692/[1]Source!I461, 2), 0)</f>
        <v>426.4</v>
      </c>
      <c r="M692"/>
      <c r="N692"/>
      <c r="O692"/>
      <c r="P692"/>
      <c r="Q692"/>
      <c r="AA692" s="38">
        <f>I692</f>
        <v>536551.91</v>
      </c>
    </row>
    <row r="693" spans="1:33" ht="42.75" x14ac:dyDescent="0.2">
      <c r="A693" s="31">
        <v>99</v>
      </c>
      <c r="B693" s="31" t="str">
        <f>[1]Source!F462</f>
        <v>5.3-1102-12-1/1</v>
      </c>
      <c r="C693" s="31" t="str">
        <f>[1]Source!G462</f>
        <v>Уборка снега средствами малой механизации ( S=1258,33 м2 *0,7=880,83 м2 )</v>
      </c>
      <c r="D693" s="32" t="str">
        <f>[1]Source!H462</f>
        <v>1000 м2</v>
      </c>
      <c r="E693" s="4">
        <f>[1]Source!I462</f>
        <v>0.88083</v>
      </c>
      <c r="F693" s="33"/>
      <c r="G693" s="34"/>
      <c r="H693" s="4"/>
      <c r="I693" s="4"/>
      <c r="J693" s="33"/>
      <c r="K693" s="33"/>
      <c r="M693"/>
      <c r="N693"/>
      <c r="O693"/>
      <c r="P693"/>
      <c r="Q693"/>
      <c r="AB693">
        <f>ROUND(([1]Source!BZ462/100)*ROUND(([1]Source!AF462*[1]Source!AV462)*[1]Source!I462, 2), 2)</f>
        <v>0</v>
      </c>
      <c r="AC693">
        <f>[1]Source!X462</f>
        <v>0</v>
      </c>
      <c r="AD693">
        <f>ROUND(([1]Source!CA462/100)*ROUND(([1]Source!AF462*[1]Source!AV462)*[1]Source!I462, 2), 2)</f>
        <v>0</v>
      </c>
      <c r="AE693">
        <f>[1]Source!Y462</f>
        <v>0</v>
      </c>
      <c r="AF693">
        <f>ROUND((175/100)*ROUND(([1]Source!AE462*[1]Source!AV462)*[1]Source!I462, 2), 2)</f>
        <v>244441.31</v>
      </c>
      <c r="AG693">
        <f>ROUND((108/100)*ROUND([1]Source!CS462*[1]Source!I462, 2), 2)</f>
        <v>150855.21</v>
      </c>
    </row>
    <row r="694" spans="1:33" x14ac:dyDescent="0.2">
      <c r="C694" s="40" t="str">
        <f>"Объем: "&amp;[1]Source!I462&amp;"=880,83/"&amp;"1000"</f>
        <v>Объем: 0,88083=880,83/1000</v>
      </c>
      <c r="M694"/>
      <c r="N694"/>
      <c r="O694"/>
      <c r="P694"/>
      <c r="Q694"/>
    </row>
    <row r="695" spans="1:33" ht="14.25" x14ac:dyDescent="0.2">
      <c r="A695" s="31"/>
      <c r="B695" s="31"/>
      <c r="C695" s="31" t="s">
        <v>33</v>
      </c>
      <c r="D695" s="32"/>
      <c r="E695" s="4"/>
      <c r="F695" s="33">
        <f>[1]Source!AM462</f>
        <v>708.24</v>
      </c>
      <c r="G695" s="34" t="str">
        <f>[1]Source!DE462</f>
        <v>)*4*168</v>
      </c>
      <c r="H695" s="4">
        <f>[1]Source!AV462</f>
        <v>1</v>
      </c>
      <c r="I695" s="4">
        <f>IF([1]Source!BB462&lt;&gt; 0, [1]Source!BB462, 1)</f>
        <v>1</v>
      </c>
      <c r="J695" s="33">
        <f>[1]Source!Q462</f>
        <v>419219.83</v>
      </c>
      <c r="K695" s="33"/>
      <c r="M695"/>
      <c r="N695"/>
      <c r="O695"/>
      <c r="P695"/>
      <c r="Q695"/>
    </row>
    <row r="696" spans="1:33" ht="14.25" x14ac:dyDescent="0.2">
      <c r="A696" s="31"/>
      <c r="B696" s="31"/>
      <c r="C696" s="31" t="s">
        <v>37</v>
      </c>
      <c r="D696" s="32"/>
      <c r="E696" s="4"/>
      <c r="F696" s="33">
        <f>[1]Source!AN462</f>
        <v>235.98</v>
      </c>
      <c r="G696" s="34" t="str">
        <f>[1]Source!DF462</f>
        <v>)*4*168</v>
      </c>
      <c r="H696" s="4">
        <f>[1]Source!AV462</f>
        <v>1</v>
      </c>
      <c r="I696" s="4">
        <f>IF([1]Source!BS462&lt;&gt; 0, [1]Source!BS462, 1)</f>
        <v>1</v>
      </c>
      <c r="J696" s="41">
        <f>[1]Source!R462</f>
        <v>139680.75</v>
      </c>
      <c r="K696" s="33"/>
      <c r="M696"/>
      <c r="N696"/>
      <c r="O696"/>
      <c r="P696"/>
      <c r="Q696"/>
    </row>
    <row r="697" spans="1:33" ht="14.25" x14ac:dyDescent="0.2">
      <c r="A697" s="31"/>
      <c r="B697" s="31"/>
      <c r="C697" s="31" t="s">
        <v>38</v>
      </c>
      <c r="D697" s="32" t="s">
        <v>39</v>
      </c>
      <c r="E697" s="4">
        <f>108</f>
        <v>108</v>
      </c>
      <c r="F697" s="33"/>
      <c r="G697" s="34"/>
      <c r="H697" s="4"/>
      <c r="I697" s="4"/>
      <c r="J697" s="33">
        <f>SUM(AG693:AG696)</f>
        <v>150855.21</v>
      </c>
      <c r="K697" s="33"/>
      <c r="M697"/>
      <c r="N697"/>
      <c r="O697"/>
      <c r="P697"/>
      <c r="Q697"/>
    </row>
    <row r="698" spans="1:33" ht="15" x14ac:dyDescent="0.25">
      <c r="A698" s="35"/>
      <c r="B698" s="35"/>
      <c r="C698" s="35"/>
      <c r="D698" s="35"/>
      <c r="E698" s="35"/>
      <c r="F698" s="35"/>
      <c r="G698" s="35"/>
      <c r="H698" s="35"/>
      <c r="I698" s="36">
        <f>J695+J697</f>
        <v>570075.04</v>
      </c>
      <c r="J698" s="36"/>
      <c r="K698" s="37">
        <f>IF([1]Source!I462&lt;&gt;0, ROUND(I698/[1]Source!I462, 2), 0)</f>
        <v>647202.12</v>
      </c>
      <c r="M698"/>
      <c r="N698"/>
      <c r="O698"/>
      <c r="P698"/>
      <c r="Q698"/>
      <c r="AA698" s="38">
        <f>I698</f>
        <v>570075.04</v>
      </c>
    </row>
    <row r="699" spans="1:33" ht="42.75" x14ac:dyDescent="0.2">
      <c r="A699" s="31">
        <v>100</v>
      </c>
      <c r="B699" s="31" t="str">
        <f>[1]Source!F463</f>
        <v>5.3-1102-8-1/1</v>
      </c>
      <c r="C699" s="31" t="str">
        <f>[1]Source!G463</f>
        <v>Уборка свежевыпавшего снега вручную толщиной слоя до 10 см ( S = 1258,33 м2*0,3*0.5=188,75 м2)</v>
      </c>
      <c r="D699" s="32" t="str">
        <f>[1]Source!H463</f>
        <v>100 м2</v>
      </c>
      <c r="E699" s="4">
        <f>[1]Source!I463</f>
        <v>1.8875</v>
      </c>
      <c r="F699" s="33"/>
      <c r="G699" s="34"/>
      <c r="H699" s="4"/>
      <c r="I699" s="4"/>
      <c r="J699" s="33"/>
      <c r="K699" s="33"/>
      <c r="M699"/>
      <c r="N699"/>
      <c r="O699"/>
      <c r="P699"/>
      <c r="Q699"/>
      <c r="AB699">
        <f>ROUND(([1]Source!BZ463/100)*ROUND(([1]Source!AF463*[1]Source!AV463)*[1]Source!I463, 2), 2)</f>
        <v>143081.85999999999</v>
      </c>
      <c r="AC699">
        <f>[1]Source!X463</f>
        <v>143081.85999999999</v>
      </c>
      <c r="AD699">
        <f>ROUND(([1]Source!CA463/100)*ROUND(([1]Source!AF463*[1]Source!AV463)*[1]Source!I463, 2), 2)</f>
        <v>20440.27</v>
      </c>
      <c r="AE699">
        <f>[1]Source!Y463</f>
        <v>20440.27</v>
      </c>
      <c r="AF699">
        <f>ROUND((175/100)*ROUND(([1]Source!AE463*[1]Source!AV463)*[1]Source!I463, 2), 2)</f>
        <v>0</v>
      </c>
      <c r="AG699">
        <f>ROUND((108/100)*ROUND([1]Source!CS463*[1]Source!I463, 2), 2)</f>
        <v>0</v>
      </c>
    </row>
    <row r="700" spans="1:33" x14ac:dyDescent="0.2">
      <c r="C700" s="40" t="str">
        <f>"Объем: "&amp;[1]Source!I463&amp;"=188,75/"&amp;"100"</f>
        <v>Объем: 1,8875=188,75/100</v>
      </c>
      <c r="M700"/>
      <c r="N700"/>
      <c r="O700"/>
      <c r="P700"/>
      <c r="Q700"/>
    </row>
    <row r="701" spans="1:33" ht="14.25" x14ac:dyDescent="0.2">
      <c r="A701" s="31"/>
      <c r="B701" s="31"/>
      <c r="C701" s="31" t="s">
        <v>34</v>
      </c>
      <c r="D701" s="32"/>
      <c r="E701" s="4"/>
      <c r="F701" s="33">
        <f>[1]Source!AO463</f>
        <v>161.15</v>
      </c>
      <c r="G701" s="34" t="str">
        <f>[1]Source!DG463</f>
        <v>)*4*168</v>
      </c>
      <c r="H701" s="4">
        <f>[1]Source!AV463</f>
        <v>1</v>
      </c>
      <c r="I701" s="4">
        <f>IF([1]Source!BA463&lt;&gt; 0, [1]Source!BA463, 1)</f>
        <v>1</v>
      </c>
      <c r="J701" s="33">
        <f>[1]Source!S463</f>
        <v>204402.66</v>
      </c>
      <c r="K701" s="33"/>
      <c r="M701"/>
      <c r="N701"/>
      <c r="O701"/>
      <c r="P701"/>
      <c r="Q701"/>
    </row>
    <row r="702" spans="1:33" ht="14.25" x14ac:dyDescent="0.2">
      <c r="A702" s="31"/>
      <c r="B702" s="31"/>
      <c r="C702" s="31" t="s">
        <v>40</v>
      </c>
      <c r="D702" s="32" t="s">
        <v>39</v>
      </c>
      <c r="E702" s="4">
        <f>[1]Source!AT463</f>
        <v>70</v>
      </c>
      <c r="F702" s="33"/>
      <c r="G702" s="34"/>
      <c r="H702" s="4"/>
      <c r="I702" s="4"/>
      <c r="J702" s="33">
        <f>SUM(AC699:AC701)</f>
        <v>143081.85999999999</v>
      </c>
      <c r="K702" s="33"/>
      <c r="M702"/>
      <c r="N702"/>
      <c r="O702"/>
      <c r="P702"/>
      <c r="Q702"/>
    </row>
    <row r="703" spans="1:33" ht="14.25" x14ac:dyDescent="0.2">
      <c r="A703" s="31"/>
      <c r="B703" s="31"/>
      <c r="C703" s="31" t="s">
        <v>41</v>
      </c>
      <c r="D703" s="32" t="s">
        <v>39</v>
      </c>
      <c r="E703" s="4">
        <f>[1]Source!AU463</f>
        <v>10</v>
      </c>
      <c r="F703" s="33"/>
      <c r="G703" s="34"/>
      <c r="H703" s="4"/>
      <c r="I703" s="4"/>
      <c r="J703" s="33">
        <f>SUM(AE699:AE702)</f>
        <v>20440.27</v>
      </c>
      <c r="K703" s="33"/>
      <c r="M703"/>
      <c r="N703"/>
      <c r="O703"/>
      <c r="P703"/>
      <c r="Q703"/>
    </row>
    <row r="704" spans="1:33" ht="14.25" x14ac:dyDescent="0.2">
      <c r="A704" s="31"/>
      <c r="B704" s="31"/>
      <c r="C704" s="31" t="s">
        <v>42</v>
      </c>
      <c r="D704" s="32" t="s">
        <v>43</v>
      </c>
      <c r="E704" s="4">
        <f>[1]Source!AQ463</f>
        <v>0.65</v>
      </c>
      <c r="F704" s="33"/>
      <c r="G704" s="34" t="str">
        <f>[1]Source!DI463</f>
        <v>)*4*168</v>
      </c>
      <c r="H704" s="4">
        <f>[1]Source!AV463</f>
        <v>1</v>
      </c>
      <c r="I704" s="4"/>
      <c r="J704" s="33"/>
      <c r="K704" s="33">
        <f>[1]Source!U463</f>
        <v>824.46</v>
      </c>
      <c r="M704"/>
      <c r="N704"/>
      <c r="O704"/>
      <c r="P704"/>
      <c r="Q704"/>
    </row>
    <row r="705" spans="1:33" ht="15" x14ac:dyDescent="0.25">
      <c r="A705" s="35"/>
      <c r="B705" s="35"/>
      <c r="C705" s="35"/>
      <c r="D705" s="35"/>
      <c r="E705" s="35"/>
      <c r="F705" s="35"/>
      <c r="G705" s="35"/>
      <c r="H705" s="35"/>
      <c r="I705" s="36">
        <f>J701+J702+J703</f>
        <v>367924.79000000004</v>
      </c>
      <c r="J705" s="36"/>
      <c r="K705" s="37">
        <f>IF([1]Source!I463&lt;&gt;0, ROUND(I705/[1]Source!I463, 2), 0)</f>
        <v>194927.04</v>
      </c>
      <c r="M705"/>
      <c r="N705"/>
      <c r="O705"/>
      <c r="P705"/>
      <c r="Q705"/>
      <c r="AA705" s="38">
        <f>I705</f>
        <v>367924.79000000004</v>
      </c>
    </row>
    <row r="706" spans="1:33" ht="28.5" x14ac:dyDescent="0.2">
      <c r="A706" s="31">
        <v>101</v>
      </c>
      <c r="B706" s="31" t="str">
        <f>[1]Source!F464</f>
        <v>5.3-1102-8-3/1</v>
      </c>
      <c r="C706" s="31" t="str">
        <f>[1]Source!G464</f>
        <v>Уборка слежавшегося снега вручную( S=1258,33м2*0,3*0,5=188,75м2 )</v>
      </c>
      <c r="D706" s="32" t="str">
        <f>[1]Source!H464</f>
        <v>100 м2</v>
      </c>
      <c r="E706" s="4">
        <f>[1]Source!I464</f>
        <v>1.8875</v>
      </c>
      <c r="F706" s="33"/>
      <c r="G706" s="34"/>
      <c r="H706" s="4"/>
      <c r="I706" s="4"/>
      <c r="J706" s="33"/>
      <c r="K706" s="33"/>
      <c r="M706"/>
      <c r="N706"/>
      <c r="O706"/>
      <c r="P706"/>
      <c r="Q706"/>
      <c r="AB706">
        <f>ROUND(([1]Source!BZ464/100)*ROUND(([1]Source!AF464*[1]Source!AV464)*[1]Source!I464, 2), 2)</f>
        <v>84199.88</v>
      </c>
      <c r="AC706">
        <f>[1]Source!X464</f>
        <v>84199.88</v>
      </c>
      <c r="AD706">
        <f>ROUND(([1]Source!CA464/100)*ROUND(([1]Source!AF464*[1]Source!AV464)*[1]Source!I464, 2), 2)</f>
        <v>12028.55</v>
      </c>
      <c r="AE706">
        <f>[1]Source!Y464</f>
        <v>12028.55</v>
      </c>
      <c r="AF706">
        <f>ROUND((175/100)*ROUND(([1]Source!AE464*[1]Source!AV464)*[1]Source!I464, 2), 2)</f>
        <v>0</v>
      </c>
      <c r="AG706">
        <f>ROUND((108/100)*ROUND([1]Source!CS464*[1]Source!I464, 2), 2)</f>
        <v>0</v>
      </c>
    </row>
    <row r="707" spans="1:33" x14ac:dyDescent="0.2">
      <c r="C707" s="40" t="str">
        <f>"Объем: "&amp;[1]Source!I464&amp;"=188,75/"&amp;"100"</f>
        <v>Объем: 1,8875=188,75/100</v>
      </c>
      <c r="M707"/>
      <c r="N707"/>
      <c r="O707"/>
      <c r="P707"/>
      <c r="Q707"/>
    </row>
    <row r="708" spans="1:33" ht="14.25" x14ac:dyDescent="0.2">
      <c r="A708" s="31"/>
      <c r="B708" s="31"/>
      <c r="C708" s="31" t="s">
        <v>34</v>
      </c>
      <c r="D708" s="32"/>
      <c r="E708" s="4"/>
      <c r="F708" s="33">
        <f>[1]Source!AO464</f>
        <v>379.33</v>
      </c>
      <c r="G708" s="34" t="str">
        <f>[1]Source!DG464</f>
        <v>)*1*168</v>
      </c>
      <c r="H708" s="4">
        <f>[1]Source!AV464</f>
        <v>1</v>
      </c>
      <c r="I708" s="4">
        <f>IF([1]Source!BA464&lt;&gt; 0, [1]Source!BA464, 1)</f>
        <v>1</v>
      </c>
      <c r="J708" s="33">
        <f>[1]Source!S464</f>
        <v>120285.54</v>
      </c>
      <c r="K708" s="33"/>
      <c r="M708"/>
      <c r="N708"/>
      <c r="O708"/>
      <c r="P708"/>
      <c r="Q708"/>
    </row>
    <row r="709" spans="1:33" ht="14.25" x14ac:dyDescent="0.2">
      <c r="A709" s="31"/>
      <c r="B709" s="31"/>
      <c r="C709" s="31" t="s">
        <v>40</v>
      </c>
      <c r="D709" s="32" t="s">
        <v>39</v>
      </c>
      <c r="E709" s="4">
        <f>[1]Source!AT464</f>
        <v>70</v>
      </c>
      <c r="F709" s="33"/>
      <c r="G709" s="34"/>
      <c r="H709" s="4"/>
      <c r="I709" s="4"/>
      <c r="J709" s="33">
        <f>SUM(AC706:AC708)</f>
        <v>84199.88</v>
      </c>
      <c r="K709" s="33"/>
      <c r="M709"/>
      <c r="N709"/>
      <c r="O709"/>
      <c r="P709"/>
      <c r="Q709"/>
    </row>
    <row r="710" spans="1:33" ht="14.25" x14ac:dyDescent="0.2">
      <c r="A710" s="31"/>
      <c r="B710" s="31"/>
      <c r="C710" s="31" t="s">
        <v>41</v>
      </c>
      <c r="D710" s="32" t="s">
        <v>39</v>
      </c>
      <c r="E710" s="4">
        <f>[1]Source!AU464</f>
        <v>10</v>
      </c>
      <c r="F710" s="33"/>
      <c r="G710" s="34"/>
      <c r="H710" s="4"/>
      <c r="I710" s="4"/>
      <c r="J710" s="33">
        <f>SUM(AE706:AE709)</f>
        <v>12028.55</v>
      </c>
      <c r="K710" s="33"/>
      <c r="M710"/>
      <c r="N710"/>
      <c r="O710"/>
      <c r="P710"/>
      <c r="Q710"/>
    </row>
    <row r="711" spans="1:33" ht="14.25" x14ac:dyDescent="0.2">
      <c r="A711" s="31"/>
      <c r="B711" s="31"/>
      <c r="C711" s="31" t="s">
        <v>42</v>
      </c>
      <c r="D711" s="32" t="s">
        <v>43</v>
      </c>
      <c r="E711" s="4">
        <f>[1]Source!AQ464</f>
        <v>1.53</v>
      </c>
      <c r="F711" s="33"/>
      <c r="G711" s="34" t="str">
        <f>[1]Source!DI464</f>
        <v>)*1*168</v>
      </c>
      <c r="H711" s="4">
        <f>[1]Source!AV464</f>
        <v>1</v>
      </c>
      <c r="I711" s="4"/>
      <c r="J711" s="33"/>
      <c r="K711" s="33">
        <f>[1]Source!U464</f>
        <v>485.16300000000001</v>
      </c>
      <c r="M711"/>
      <c r="N711"/>
      <c r="O711"/>
      <c r="P711"/>
      <c r="Q711"/>
    </row>
    <row r="712" spans="1:33" ht="15" x14ac:dyDescent="0.25">
      <c r="A712" s="35"/>
      <c r="B712" s="35"/>
      <c r="C712" s="35"/>
      <c r="D712" s="35"/>
      <c r="E712" s="35"/>
      <c r="F712" s="35"/>
      <c r="G712" s="35"/>
      <c r="H712" s="35"/>
      <c r="I712" s="36">
        <f>J708+J709+J710</f>
        <v>216513.96999999997</v>
      </c>
      <c r="J712" s="36"/>
      <c r="K712" s="37">
        <f>IF([1]Source!I464&lt;&gt;0, ROUND(I712/[1]Source!I464, 2), 0)</f>
        <v>114709.39</v>
      </c>
      <c r="M712"/>
      <c r="N712"/>
      <c r="O712"/>
      <c r="P712"/>
      <c r="Q712"/>
      <c r="AA712" s="38">
        <f>I712</f>
        <v>216513.96999999997</v>
      </c>
    </row>
    <row r="713" spans="1:33" ht="57" x14ac:dyDescent="0.2">
      <c r="A713" s="31">
        <v>102</v>
      </c>
      <c r="B713" s="31" t="str">
        <f>[1]Source!F465</f>
        <v>калькуляция</v>
      </c>
      <c r="C713" s="31" t="str">
        <f>[1]Source!G465</f>
        <v>Посыпка  гранитной крошкой дорожных покрытий средствами малой механизации( расход крошки 100 г/м2)</v>
      </c>
      <c r="D713" s="32" t="str">
        <f>[1]Source!H465</f>
        <v>м2</v>
      </c>
      <c r="E713" s="4">
        <f>[1]Source!I465</f>
        <v>1258.33</v>
      </c>
      <c r="F713" s="33"/>
      <c r="G713" s="34"/>
      <c r="H713" s="4"/>
      <c r="I713" s="4"/>
      <c r="J713" s="33"/>
      <c r="K713" s="33"/>
      <c r="M713"/>
      <c r="N713"/>
      <c r="O713"/>
      <c r="P713"/>
      <c r="Q713"/>
      <c r="AB713">
        <f>ROUND(([1]Source!BZ465/100)*ROUND(([1]Source!AF465*[1]Source!AV465)*[1]Source!I465, 2), 2)</f>
        <v>0</v>
      </c>
      <c r="AC713">
        <f>[1]Source!X465</f>
        <v>0</v>
      </c>
      <c r="AD713">
        <f>ROUND(([1]Source!CA465/100)*ROUND(([1]Source!AF465*[1]Source!AV465)*[1]Source!I465, 2), 2)</f>
        <v>0</v>
      </c>
      <c r="AE713">
        <f>[1]Source!Y465</f>
        <v>0</v>
      </c>
      <c r="AF713">
        <f>ROUND((175/100)*ROUND(([1]Source!AE465*[1]Source!AV465)*[1]Source!I465, 2), 2)</f>
        <v>0</v>
      </c>
      <c r="AG713">
        <f>ROUND((108/100)*ROUND([1]Source!CS465*[1]Source!I465, 2), 2)</f>
        <v>0</v>
      </c>
    </row>
    <row r="714" spans="1:33" ht="14.25" x14ac:dyDescent="0.2">
      <c r="A714" s="31"/>
      <c r="B714" s="31"/>
      <c r="C714" s="31" t="s">
        <v>33</v>
      </c>
      <c r="D714" s="32"/>
      <c r="E714" s="4"/>
      <c r="F714" s="33">
        <f>[1]Source!AM465</f>
        <v>0.33</v>
      </c>
      <c r="G714" s="34" t="str">
        <f>[1]Source!DE465</f>
        <v>)*4*168</v>
      </c>
      <c r="H714" s="4">
        <f>[1]Source!AV465</f>
        <v>1</v>
      </c>
      <c r="I714" s="4">
        <f>IF([1]Source!BB465&lt;&gt; 0, [1]Source!BB465, 1)</f>
        <v>1</v>
      </c>
      <c r="J714" s="33">
        <f>[1]Source!Q465</f>
        <v>279047.26</v>
      </c>
      <c r="K714" s="33"/>
      <c r="M714"/>
      <c r="N714"/>
      <c r="O714"/>
      <c r="P714"/>
      <c r="Q714"/>
    </row>
    <row r="715" spans="1:33" ht="14.25" x14ac:dyDescent="0.2">
      <c r="A715" s="31" t="s">
        <v>63</v>
      </c>
      <c r="B715" s="31" t="str">
        <f>[1]Source!F466</f>
        <v>цена поставщика</v>
      </c>
      <c r="C715" s="31" t="str">
        <f>[1]Source!G466</f>
        <v>Крошка гранитная</v>
      </c>
      <c r="D715" s="32" t="str">
        <f>[1]Source!H466</f>
        <v>кг</v>
      </c>
      <c r="E715" s="4">
        <f>[1]Source!I466</f>
        <v>84559.775999999998</v>
      </c>
      <c r="F715" s="33">
        <f>[1]Source!AK466</f>
        <v>4.43</v>
      </c>
      <c r="G715" s="39" t="s">
        <v>45</v>
      </c>
      <c r="H715" s="4">
        <f>[1]Source!AW466</f>
        <v>1</v>
      </c>
      <c r="I715" s="4">
        <f>IF([1]Source!BC466&lt;&gt; 0, [1]Source!BC466, 1)</f>
        <v>1</v>
      </c>
      <c r="J715" s="33">
        <f>[1]Source!O466</f>
        <v>374599.81</v>
      </c>
      <c r="K715" s="33"/>
      <c r="M715"/>
      <c r="N715"/>
      <c r="O715"/>
      <c r="P715"/>
      <c r="Q715"/>
      <c r="AB715">
        <f>ROUND(([1]Source!BZ466/100)*ROUND(([1]Source!AF466*[1]Source!AV466)*[1]Source!I466, 2), 2)</f>
        <v>0</v>
      </c>
      <c r="AC715">
        <f>[1]Source!X466</f>
        <v>0</v>
      </c>
      <c r="AD715">
        <f>ROUND(([1]Source!CA466/100)*ROUND(([1]Source!AF466*[1]Source!AV466)*[1]Source!I466, 2), 2)</f>
        <v>0</v>
      </c>
      <c r="AE715">
        <f>[1]Source!Y466</f>
        <v>0</v>
      </c>
      <c r="AF715">
        <f>ROUND((175/100)*ROUND(([1]Source!AE466*[1]Source!AV466)*[1]Source!I466, 2), 2)</f>
        <v>0</v>
      </c>
      <c r="AG715">
        <f>ROUND((108/100)*ROUND([1]Source!CS466*[1]Source!I466, 2), 2)</f>
        <v>0</v>
      </c>
    </row>
    <row r="716" spans="1:33" ht="15" x14ac:dyDescent="0.25">
      <c r="A716" s="35"/>
      <c r="B716" s="35"/>
      <c r="C716" s="35"/>
      <c r="D716" s="35"/>
      <c r="E716" s="35"/>
      <c r="F716" s="35"/>
      <c r="G716" s="35"/>
      <c r="H716" s="35"/>
      <c r="I716" s="36">
        <f>J714+SUM(J715:J715)</f>
        <v>653647.07000000007</v>
      </c>
      <c r="J716" s="36"/>
      <c r="K716" s="37">
        <f>IF([1]Source!I465&lt;&gt;0, ROUND(I716/[1]Source!I465, 2), 0)</f>
        <v>519.46</v>
      </c>
      <c r="M716"/>
      <c r="N716"/>
      <c r="O716"/>
      <c r="P716"/>
      <c r="Q716"/>
      <c r="AA716" s="38">
        <f>I716</f>
        <v>653647.07000000007</v>
      </c>
    </row>
    <row r="717" spans="1:33" x14ac:dyDescent="0.2">
      <c r="M717"/>
      <c r="N717"/>
      <c r="O717"/>
      <c r="P717"/>
      <c r="Q717"/>
    </row>
    <row r="718" spans="1:33" ht="15" x14ac:dyDescent="0.25">
      <c r="A718" s="42" t="str">
        <f>CONCATENATE("Итого по подразделу: ",IF([1]Source!G468&lt;&gt;"Новый подраздел", [1]Source!G468, ""))</f>
        <v>Итого по подразделу: Уход за напольными покрытиями ( S= 1258,33 м2 )</v>
      </c>
      <c r="B718" s="42"/>
      <c r="C718" s="42"/>
      <c r="D718" s="42"/>
      <c r="E718" s="42"/>
      <c r="F718" s="42"/>
      <c r="G718" s="42"/>
      <c r="H718" s="42"/>
      <c r="I718" s="43">
        <f>SUM(AA689:AA717)</f>
        <v>2344712.7800000003</v>
      </c>
      <c r="J718" s="44"/>
      <c r="K718" s="47"/>
      <c r="L718" s="38">
        <f>I718</f>
        <v>2344712.7800000003</v>
      </c>
      <c r="M718" s="2">
        <f>ROUND(I718*$I$4874,2)</f>
        <v>1693367.63</v>
      </c>
      <c r="N718" s="2">
        <f>ROUND(M718*1.2/105*100,2)</f>
        <v>1935277.29</v>
      </c>
      <c r="O718" s="2">
        <f>ROUND(N718*0.05,2)</f>
        <v>96763.86</v>
      </c>
      <c r="P718" s="2">
        <f>N718+O718</f>
        <v>2032041.1500000001</v>
      </c>
      <c r="Q718" s="3">
        <v>22</v>
      </c>
      <c r="S718" s="2">
        <v>374217.37</v>
      </c>
    </row>
    <row r="719" spans="1:33" x14ac:dyDescent="0.2">
      <c r="M719"/>
      <c r="N719"/>
      <c r="O719"/>
      <c r="P719"/>
      <c r="Q719"/>
    </row>
    <row r="720" spans="1:33" x14ac:dyDescent="0.2">
      <c r="M720"/>
      <c r="N720"/>
      <c r="O720"/>
      <c r="P720"/>
      <c r="Q720"/>
    </row>
    <row r="721" spans="1:33" ht="16.5" x14ac:dyDescent="0.25">
      <c r="A721" s="29" t="str">
        <f>CONCATENATE("Подраздел: ",IF([1]Source!G498&lt;&gt;"Новый подраздел", [1]Source!G498, ""))</f>
        <v>Подраздел: Уход за гранитной лестницей( S= 244,45 м2)</v>
      </c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M721"/>
      <c r="N721"/>
      <c r="O721"/>
      <c r="P721"/>
      <c r="Q721"/>
    </row>
    <row r="722" spans="1:33" ht="14.25" x14ac:dyDescent="0.2">
      <c r="A722" s="31">
        <v>103</v>
      </c>
      <c r="B722" s="31" t="str">
        <f>[1]Source!F502</f>
        <v>калькуляция</v>
      </c>
      <c r="C722" s="31" t="str">
        <f>[1]Source!G502</f>
        <v>Подметание лестницы</v>
      </c>
      <c r="D722" s="32" t="str">
        <f>[1]Source!H502</f>
        <v>м2</v>
      </c>
      <c r="E722" s="4">
        <f>[1]Source!I502</f>
        <v>244.45</v>
      </c>
      <c r="F722" s="33"/>
      <c r="G722" s="34"/>
      <c r="H722" s="4"/>
      <c r="I722" s="4"/>
      <c r="J722" s="33"/>
      <c r="K722" s="33"/>
      <c r="M722"/>
      <c r="N722"/>
      <c r="O722"/>
      <c r="P722"/>
      <c r="Q722"/>
      <c r="AB722">
        <f>ROUND(([1]Source!BZ502/100)*ROUND(([1]Source!AF502*[1]Source!AV502)*[1]Source!I502, 2), 2)</f>
        <v>0</v>
      </c>
      <c r="AC722">
        <f>[1]Source!X502</f>
        <v>0</v>
      </c>
      <c r="AD722">
        <f>ROUND(([1]Source!CA502/100)*ROUND(([1]Source!AF502*[1]Source!AV502)*[1]Source!I502, 2), 2)</f>
        <v>0</v>
      </c>
      <c r="AE722">
        <f>[1]Source!Y502</f>
        <v>0</v>
      </c>
      <c r="AF722">
        <f>ROUND((175/100)*ROUND(([1]Source!AE502*[1]Source!AV502)*[1]Source!I502, 2), 2)</f>
        <v>0</v>
      </c>
      <c r="AG722">
        <f>ROUND((108/100)*ROUND([1]Source!CS502*[1]Source!I502, 2), 2)</f>
        <v>0</v>
      </c>
    </row>
    <row r="723" spans="1:33" ht="14.25" x14ac:dyDescent="0.2">
      <c r="A723" s="31"/>
      <c r="B723" s="31"/>
      <c r="C723" s="31" t="s">
        <v>34</v>
      </c>
      <c r="D723" s="32"/>
      <c r="E723" s="4"/>
      <c r="F723" s="33">
        <f>[1]Source!AO502</f>
        <v>1.94</v>
      </c>
      <c r="G723" s="34" t="str">
        <f>[1]Source!DG502</f>
        <v>)*4*164</v>
      </c>
      <c r="H723" s="4">
        <f>[1]Source!AV502</f>
        <v>1</v>
      </c>
      <c r="I723" s="4">
        <f>IF([1]Source!BA502&lt;&gt; 0, [1]Source!BA502, 1)</f>
        <v>1</v>
      </c>
      <c r="J723" s="33">
        <f>[1]Source!S502</f>
        <v>311096.84999999998</v>
      </c>
      <c r="K723" s="33"/>
      <c r="M723"/>
      <c r="N723"/>
      <c r="O723"/>
      <c r="P723"/>
      <c r="Q723"/>
    </row>
    <row r="724" spans="1:33" ht="15" x14ac:dyDescent="0.25">
      <c r="A724" s="35"/>
      <c r="B724" s="35"/>
      <c r="C724" s="35"/>
      <c r="D724" s="35"/>
      <c r="E724" s="35"/>
      <c r="F724" s="35"/>
      <c r="G724" s="35"/>
      <c r="H724" s="35"/>
      <c r="I724" s="36">
        <f>J723</f>
        <v>311096.84999999998</v>
      </c>
      <c r="J724" s="36"/>
      <c r="K724" s="37">
        <f>IF([1]Source!I502&lt;&gt;0, ROUND(I724/[1]Source!I502, 2), 0)</f>
        <v>1272.6400000000001</v>
      </c>
      <c r="M724"/>
      <c r="N724"/>
      <c r="O724"/>
      <c r="P724"/>
      <c r="Q724"/>
      <c r="AA724" s="38">
        <f>I724</f>
        <v>311096.84999999998</v>
      </c>
    </row>
    <row r="725" spans="1:33" ht="42.75" x14ac:dyDescent="0.2">
      <c r="A725" s="31">
        <v>104</v>
      </c>
      <c r="B725" s="31" t="str">
        <f>[1]Source!F503</f>
        <v>5.3-1102-19-1/1</v>
      </c>
      <c r="C725" s="31" t="str">
        <f>[1]Source!G503</f>
        <v>Уборка лестниц от снега вручную на территории типа ВДНХ - толщиной до 10 см</v>
      </c>
      <c r="D725" s="32" t="str">
        <f>[1]Source!H503</f>
        <v>100 м2</v>
      </c>
      <c r="E725" s="4">
        <f>[1]Source!I503</f>
        <v>2.4445000000000001</v>
      </c>
      <c r="F725" s="33"/>
      <c r="G725" s="34"/>
      <c r="H725" s="4"/>
      <c r="I725" s="4"/>
      <c r="J725" s="33"/>
      <c r="K725" s="33"/>
      <c r="M725"/>
      <c r="N725"/>
      <c r="O725"/>
      <c r="P725"/>
      <c r="Q725"/>
      <c r="AB725">
        <f>ROUND(([1]Source!BZ503/100)*ROUND(([1]Source!AF503*[1]Source!AV503)*[1]Source!I503, 2), 2)</f>
        <v>176761.52</v>
      </c>
      <c r="AC725">
        <f>[1]Source!X503</f>
        <v>176761.52</v>
      </c>
      <c r="AD725">
        <f>ROUND(([1]Source!CA503/100)*ROUND(([1]Source!AF503*[1]Source!AV503)*[1]Source!I503, 2), 2)</f>
        <v>25251.65</v>
      </c>
      <c r="AE725">
        <f>[1]Source!Y503</f>
        <v>25251.65</v>
      </c>
      <c r="AF725">
        <f>ROUND((175/100)*ROUND(([1]Source!AE503*[1]Source!AV503)*[1]Source!I503, 2), 2)</f>
        <v>0</v>
      </c>
      <c r="AG725">
        <f>ROUND((108/100)*ROUND([1]Source!CS503*[1]Source!I503, 2), 2)</f>
        <v>0</v>
      </c>
    </row>
    <row r="726" spans="1:33" x14ac:dyDescent="0.2">
      <c r="C726" s="40" t="str">
        <f>"Объем: "&amp;[1]Source!I503&amp;"=244,45/"&amp;"100"</f>
        <v>Объем: 2,4445=244,45/100</v>
      </c>
      <c r="M726"/>
      <c r="N726"/>
      <c r="O726"/>
      <c r="P726"/>
      <c r="Q726"/>
    </row>
    <row r="727" spans="1:33" ht="14.25" x14ac:dyDescent="0.2">
      <c r="A727" s="31"/>
      <c r="B727" s="31"/>
      <c r="C727" s="31" t="s">
        <v>34</v>
      </c>
      <c r="D727" s="32"/>
      <c r="E727" s="4"/>
      <c r="F727" s="33">
        <f>[1]Source!AO503</f>
        <v>153.72</v>
      </c>
      <c r="G727" s="34" t="str">
        <f>[1]Source!DG503</f>
        <v>)*4*168</v>
      </c>
      <c r="H727" s="4">
        <f>[1]Source!AV503</f>
        <v>1</v>
      </c>
      <c r="I727" s="4">
        <f>IF([1]Source!BA503&lt;&gt; 0, [1]Source!BA503, 1)</f>
        <v>1</v>
      </c>
      <c r="J727" s="33">
        <f>[1]Source!S503</f>
        <v>252516.46</v>
      </c>
      <c r="K727" s="33"/>
      <c r="M727"/>
      <c r="N727"/>
      <c r="O727"/>
      <c r="P727"/>
      <c r="Q727"/>
    </row>
    <row r="728" spans="1:33" ht="14.25" x14ac:dyDescent="0.2">
      <c r="A728" s="31"/>
      <c r="B728" s="31"/>
      <c r="C728" s="31" t="s">
        <v>40</v>
      </c>
      <c r="D728" s="32" t="s">
        <v>39</v>
      </c>
      <c r="E728" s="4">
        <f>[1]Source!AT503</f>
        <v>70</v>
      </c>
      <c r="F728" s="33"/>
      <c r="G728" s="34"/>
      <c r="H728" s="4"/>
      <c r="I728" s="4"/>
      <c r="J728" s="33">
        <f>SUM(AC725:AC727)</f>
        <v>176761.52</v>
      </c>
      <c r="K728" s="33"/>
      <c r="M728"/>
      <c r="N728"/>
      <c r="O728"/>
      <c r="P728"/>
      <c r="Q728"/>
    </row>
    <row r="729" spans="1:33" ht="14.25" x14ac:dyDescent="0.2">
      <c r="A729" s="31"/>
      <c r="B729" s="31"/>
      <c r="C729" s="31" t="s">
        <v>41</v>
      </c>
      <c r="D729" s="32" t="s">
        <v>39</v>
      </c>
      <c r="E729" s="4">
        <f>[1]Source!AU503</f>
        <v>10</v>
      </c>
      <c r="F729" s="33"/>
      <c r="G729" s="34"/>
      <c r="H729" s="4"/>
      <c r="I729" s="4"/>
      <c r="J729" s="33">
        <f>SUM(AE725:AE728)</f>
        <v>25251.65</v>
      </c>
      <c r="K729" s="33"/>
      <c r="M729"/>
      <c r="N729"/>
      <c r="O729"/>
      <c r="P729"/>
      <c r="Q729"/>
    </row>
    <row r="730" spans="1:33" ht="14.25" x14ac:dyDescent="0.2">
      <c r="A730" s="31"/>
      <c r="B730" s="31"/>
      <c r="C730" s="31" t="s">
        <v>42</v>
      </c>
      <c r="D730" s="32" t="s">
        <v>43</v>
      </c>
      <c r="E730" s="4">
        <f>[1]Source!AQ503</f>
        <v>0.62</v>
      </c>
      <c r="F730" s="33"/>
      <c r="G730" s="34" t="str">
        <f>[1]Source!DI503</f>
        <v>)*4*168</v>
      </c>
      <c r="H730" s="4">
        <f>[1]Source!AV503</f>
        <v>1</v>
      </c>
      <c r="I730" s="4"/>
      <c r="J730" s="33"/>
      <c r="K730" s="33">
        <f>[1]Source!U503</f>
        <v>1018.47648</v>
      </c>
      <c r="M730"/>
      <c r="N730"/>
      <c r="O730"/>
      <c r="P730"/>
      <c r="Q730"/>
    </row>
    <row r="731" spans="1:33" ht="15" x14ac:dyDescent="0.25">
      <c r="A731" s="35"/>
      <c r="B731" s="35"/>
      <c r="C731" s="35"/>
      <c r="D731" s="35"/>
      <c r="E731" s="35"/>
      <c r="F731" s="35"/>
      <c r="G731" s="35"/>
      <c r="H731" s="35"/>
      <c r="I731" s="36">
        <f>J727+J728+J729</f>
        <v>454529.63</v>
      </c>
      <c r="J731" s="36"/>
      <c r="K731" s="37">
        <f>IF([1]Source!I503&lt;&gt;0, ROUND(I731/[1]Source!I503, 2), 0)</f>
        <v>185939.71</v>
      </c>
      <c r="M731"/>
      <c r="N731"/>
      <c r="O731"/>
      <c r="P731"/>
      <c r="Q731"/>
      <c r="AA731" s="38">
        <f>I731</f>
        <v>454529.63</v>
      </c>
    </row>
    <row r="732" spans="1:33" ht="28.5" x14ac:dyDescent="0.2">
      <c r="A732" s="31">
        <v>105</v>
      </c>
      <c r="B732" s="31" t="str">
        <f>[1]Source!F504</f>
        <v>5.3-1102-8-3/1</v>
      </c>
      <c r="C732" s="31" t="str">
        <f>[1]Source!G504</f>
        <v>Уборка слежавшегося снега вручную ( 10% от 244,45 м2 )</v>
      </c>
      <c r="D732" s="32" t="str">
        <f>[1]Source!H504</f>
        <v>100 м2</v>
      </c>
      <c r="E732" s="4">
        <f>[1]Source!I504</f>
        <v>0.2445</v>
      </c>
      <c r="F732" s="33"/>
      <c r="G732" s="34"/>
      <c r="H732" s="4"/>
      <c r="I732" s="4"/>
      <c r="J732" s="33"/>
      <c r="K732" s="33"/>
      <c r="M732"/>
      <c r="N732"/>
      <c r="O732"/>
      <c r="P732"/>
      <c r="Q732"/>
      <c r="AB732">
        <f>ROUND(([1]Source!BZ504/100)*ROUND(([1]Source!AF504*[1]Source!AV504)*[1]Source!I504, 2), 2)</f>
        <v>2726.74</v>
      </c>
      <c r="AC732">
        <f>[1]Source!X504</f>
        <v>2726.74</v>
      </c>
      <c r="AD732">
        <f>ROUND(([1]Source!CA504/100)*ROUND(([1]Source!AF504*[1]Source!AV504)*[1]Source!I504, 2), 2)</f>
        <v>389.53</v>
      </c>
      <c r="AE732">
        <f>[1]Source!Y504</f>
        <v>389.53</v>
      </c>
      <c r="AF732">
        <f>ROUND((175/100)*ROUND(([1]Source!AE504*[1]Source!AV504)*[1]Source!I504, 2), 2)</f>
        <v>0</v>
      </c>
      <c r="AG732">
        <f>ROUND((108/100)*ROUND([1]Source!CS504*[1]Source!I504, 2), 2)</f>
        <v>0</v>
      </c>
    </row>
    <row r="733" spans="1:33" x14ac:dyDescent="0.2">
      <c r="C733" s="40" t="str">
        <f>"Объем: "&amp;[1]Source!I504&amp;"=24,45/"&amp;"100"</f>
        <v>Объем: 0,2445=24,45/100</v>
      </c>
      <c r="M733"/>
      <c r="N733"/>
      <c r="O733"/>
      <c r="P733"/>
      <c r="Q733"/>
    </row>
    <row r="734" spans="1:33" ht="14.25" x14ac:dyDescent="0.2">
      <c r="A734" s="31"/>
      <c r="B734" s="31"/>
      <c r="C734" s="31" t="s">
        <v>34</v>
      </c>
      <c r="D734" s="32"/>
      <c r="E734" s="4"/>
      <c r="F734" s="33">
        <f>[1]Source!AO504</f>
        <v>379.33</v>
      </c>
      <c r="G734" s="34" t="str">
        <f>[1]Source!DG504</f>
        <v>)*1*42</v>
      </c>
      <c r="H734" s="4">
        <f>[1]Source!AV504</f>
        <v>1</v>
      </c>
      <c r="I734" s="4">
        <f>IF([1]Source!BA504&lt;&gt; 0, [1]Source!BA504, 1)</f>
        <v>1</v>
      </c>
      <c r="J734" s="33">
        <f>[1]Source!S504</f>
        <v>3895.34</v>
      </c>
      <c r="K734" s="33"/>
      <c r="M734"/>
      <c r="N734"/>
      <c r="O734"/>
      <c r="P734"/>
      <c r="Q734"/>
    </row>
    <row r="735" spans="1:33" ht="14.25" x14ac:dyDescent="0.2">
      <c r="A735" s="31"/>
      <c r="B735" s="31"/>
      <c r="C735" s="31" t="s">
        <v>40</v>
      </c>
      <c r="D735" s="32" t="s">
        <v>39</v>
      </c>
      <c r="E735" s="4">
        <f>[1]Source!AT504</f>
        <v>70</v>
      </c>
      <c r="F735" s="33"/>
      <c r="G735" s="34"/>
      <c r="H735" s="4"/>
      <c r="I735" s="4"/>
      <c r="J735" s="33">
        <f>SUM(AC732:AC734)</f>
        <v>2726.74</v>
      </c>
      <c r="K735" s="33"/>
      <c r="M735"/>
      <c r="N735"/>
      <c r="O735"/>
      <c r="P735"/>
      <c r="Q735"/>
    </row>
    <row r="736" spans="1:33" ht="14.25" x14ac:dyDescent="0.2">
      <c r="A736" s="31"/>
      <c r="B736" s="31"/>
      <c r="C736" s="31" t="s">
        <v>41</v>
      </c>
      <c r="D736" s="32" t="s">
        <v>39</v>
      </c>
      <c r="E736" s="4">
        <f>[1]Source!AU504</f>
        <v>10</v>
      </c>
      <c r="F736" s="33"/>
      <c r="G736" s="34"/>
      <c r="H736" s="4"/>
      <c r="I736" s="4"/>
      <c r="J736" s="33">
        <f>SUM(AE732:AE735)</f>
        <v>389.53</v>
      </c>
      <c r="K736" s="33"/>
      <c r="M736"/>
      <c r="N736"/>
      <c r="O736"/>
      <c r="P736"/>
      <c r="Q736"/>
    </row>
    <row r="737" spans="1:33" ht="14.25" x14ac:dyDescent="0.2">
      <c r="A737" s="31"/>
      <c r="B737" s="31"/>
      <c r="C737" s="31" t="s">
        <v>42</v>
      </c>
      <c r="D737" s="32" t="s">
        <v>43</v>
      </c>
      <c r="E737" s="4">
        <f>[1]Source!AQ504</f>
        <v>1.53</v>
      </c>
      <c r="F737" s="33"/>
      <c r="G737" s="34" t="str">
        <f>[1]Source!DI504</f>
        <v>)*1*42</v>
      </c>
      <c r="H737" s="4">
        <f>[1]Source!AV504</f>
        <v>1</v>
      </c>
      <c r="I737" s="4"/>
      <c r="J737" s="33"/>
      <c r="K737" s="33">
        <f>[1]Source!U504</f>
        <v>15.711570000000002</v>
      </c>
      <c r="M737"/>
      <c r="N737"/>
      <c r="O737"/>
      <c r="P737"/>
      <c r="Q737"/>
    </row>
    <row r="738" spans="1:33" ht="15" x14ac:dyDescent="0.25">
      <c r="A738" s="35"/>
      <c r="B738" s="35"/>
      <c r="C738" s="35"/>
      <c r="D738" s="35"/>
      <c r="E738" s="35"/>
      <c r="F738" s="35"/>
      <c r="G738" s="35"/>
      <c r="H738" s="35"/>
      <c r="I738" s="36">
        <f>J734+J735+J736</f>
        <v>7011.61</v>
      </c>
      <c r="J738" s="36"/>
      <c r="K738" s="37">
        <f>IF([1]Source!I504&lt;&gt;0, ROUND(I738/[1]Source!I504, 2), 0)</f>
        <v>28677.34</v>
      </c>
      <c r="M738"/>
      <c r="N738"/>
      <c r="O738"/>
      <c r="P738"/>
      <c r="Q738"/>
      <c r="AA738" s="38">
        <f>I738</f>
        <v>7011.61</v>
      </c>
    </row>
    <row r="739" spans="1:33" ht="28.5" x14ac:dyDescent="0.2">
      <c r="A739" s="31">
        <v>106</v>
      </c>
      <c r="B739" s="31" t="str">
        <f>[1]Source!F505</f>
        <v>калькуляция</v>
      </c>
      <c r="C739" s="31" t="str">
        <f>[1]Source!G505</f>
        <v>Посыпка гранитной крошкой  дорожных покрытий вручную( 100г/м2 )</v>
      </c>
      <c r="D739" s="32" t="str">
        <f>[1]Source!H505</f>
        <v>м2</v>
      </c>
      <c r="E739" s="4">
        <f>[1]Source!I505</f>
        <v>244.45</v>
      </c>
      <c r="F739" s="33"/>
      <c r="G739" s="34"/>
      <c r="H739" s="4"/>
      <c r="I739" s="4"/>
      <c r="J739" s="33"/>
      <c r="K739" s="33"/>
      <c r="M739"/>
      <c r="N739"/>
      <c r="O739"/>
      <c r="P739"/>
      <c r="Q739"/>
      <c r="AB739">
        <f>ROUND(([1]Source!BZ505/100)*ROUND(([1]Source!AF505*[1]Source!AV505)*[1]Source!I505, 2), 2)</f>
        <v>0</v>
      </c>
      <c r="AC739">
        <f>[1]Source!X505</f>
        <v>0</v>
      </c>
      <c r="AD739">
        <f>ROUND(([1]Source!CA505/100)*ROUND(([1]Source!AF505*[1]Source!AV505)*[1]Source!I505, 2), 2)</f>
        <v>0</v>
      </c>
      <c r="AE739">
        <f>[1]Source!Y505</f>
        <v>0</v>
      </c>
      <c r="AF739">
        <f>ROUND((175/100)*ROUND(([1]Source!AE505*[1]Source!AV505)*[1]Source!I505, 2), 2)</f>
        <v>0</v>
      </c>
      <c r="AG739">
        <f>ROUND((108/100)*ROUND([1]Source!CS505*[1]Source!I505, 2), 2)</f>
        <v>0</v>
      </c>
    </row>
    <row r="740" spans="1:33" ht="14.25" x14ac:dyDescent="0.2">
      <c r="A740" s="31"/>
      <c r="B740" s="31"/>
      <c r="C740" s="31" t="s">
        <v>34</v>
      </c>
      <c r="D740" s="32"/>
      <c r="E740" s="4"/>
      <c r="F740" s="33">
        <f>[1]Source!AO505</f>
        <v>2.08</v>
      </c>
      <c r="G740" s="34" t="str">
        <f>[1]Source!DG505</f>
        <v>)*4*168</v>
      </c>
      <c r="H740" s="4">
        <f>[1]Source!AV505</f>
        <v>1</v>
      </c>
      <c r="I740" s="4">
        <f>IF([1]Source!BA505&lt;&gt; 0, [1]Source!BA505, 1)</f>
        <v>1</v>
      </c>
      <c r="J740" s="33">
        <f>[1]Source!S505</f>
        <v>341682.43</v>
      </c>
      <c r="K740" s="33"/>
      <c r="M740"/>
      <c r="N740"/>
      <c r="O740"/>
      <c r="P740"/>
      <c r="Q740"/>
    </row>
    <row r="741" spans="1:33" ht="14.25" x14ac:dyDescent="0.2">
      <c r="A741" s="31" t="s">
        <v>64</v>
      </c>
      <c r="B741" s="31" t="str">
        <f>[1]Source!F506</f>
        <v>цена поставщика</v>
      </c>
      <c r="C741" s="31" t="str">
        <f>[1]Source!G506</f>
        <v>Крошка гранитная</v>
      </c>
      <c r="D741" s="32" t="str">
        <f>[1]Source!H506</f>
        <v>кг</v>
      </c>
      <c r="E741" s="4">
        <f>[1]Source!I506</f>
        <v>16427.04</v>
      </c>
      <c r="F741" s="33">
        <f>[1]Source!AK506</f>
        <v>4.43</v>
      </c>
      <c r="G741" s="39" t="s">
        <v>45</v>
      </c>
      <c r="H741" s="4">
        <f>[1]Source!AW506</f>
        <v>1</v>
      </c>
      <c r="I741" s="4">
        <f>IF([1]Source!BC506&lt;&gt; 0, [1]Source!BC506, 1)</f>
        <v>1</v>
      </c>
      <c r="J741" s="33">
        <f>[1]Source!O506</f>
        <v>72771.789999999994</v>
      </c>
      <c r="K741" s="33"/>
      <c r="M741"/>
      <c r="N741"/>
      <c r="O741"/>
      <c r="P741"/>
      <c r="Q741"/>
      <c r="AB741">
        <f>ROUND(([1]Source!BZ506/100)*ROUND(([1]Source!AF506*[1]Source!AV506)*[1]Source!I506, 2), 2)</f>
        <v>0</v>
      </c>
      <c r="AC741">
        <f>[1]Source!X506</f>
        <v>0</v>
      </c>
      <c r="AD741">
        <f>ROUND(([1]Source!CA506/100)*ROUND(([1]Source!AF506*[1]Source!AV506)*[1]Source!I506, 2), 2)</f>
        <v>0</v>
      </c>
      <c r="AE741">
        <f>[1]Source!Y506</f>
        <v>0</v>
      </c>
      <c r="AF741">
        <f>ROUND((175/100)*ROUND(([1]Source!AE506*[1]Source!AV506)*[1]Source!I506, 2), 2)</f>
        <v>0</v>
      </c>
      <c r="AG741">
        <f>ROUND((108/100)*ROUND([1]Source!CS506*[1]Source!I506, 2), 2)</f>
        <v>0</v>
      </c>
    </row>
    <row r="742" spans="1:33" ht="15" x14ac:dyDescent="0.25">
      <c r="A742" s="35"/>
      <c r="B742" s="35"/>
      <c r="C742" s="35"/>
      <c r="D742" s="35"/>
      <c r="E742" s="35"/>
      <c r="F742" s="35"/>
      <c r="G742" s="35"/>
      <c r="H742" s="35"/>
      <c r="I742" s="36">
        <f>J740+SUM(J741:J741)</f>
        <v>414454.22</v>
      </c>
      <c r="J742" s="36"/>
      <c r="K742" s="37">
        <f>IF([1]Source!I505&lt;&gt;0, ROUND(I742/[1]Source!I505, 2), 0)</f>
        <v>1695.46</v>
      </c>
      <c r="M742"/>
      <c r="N742"/>
      <c r="O742"/>
      <c r="P742"/>
      <c r="Q742"/>
      <c r="AA742" s="38">
        <f>I742</f>
        <v>414454.22</v>
      </c>
    </row>
    <row r="743" spans="1:33" x14ac:dyDescent="0.2">
      <c r="M743"/>
      <c r="N743"/>
      <c r="O743"/>
      <c r="P743"/>
      <c r="Q743"/>
    </row>
    <row r="744" spans="1:33" ht="15" x14ac:dyDescent="0.25">
      <c r="A744" s="42" t="str">
        <f>CONCATENATE("Итого по подразделу: ",IF([1]Source!G508&lt;&gt;"Новый подраздел", [1]Source!G508, ""))</f>
        <v>Итого по подразделу: Уход за гранитной лестницей( S= 244,45 м2)</v>
      </c>
      <c r="B744" s="42"/>
      <c r="C744" s="42"/>
      <c r="D744" s="42"/>
      <c r="E744" s="42"/>
      <c r="F744" s="42"/>
      <c r="G744" s="42"/>
      <c r="H744" s="42"/>
      <c r="I744" s="43">
        <f>SUM(AA721:AA743)</f>
        <v>1187092.31</v>
      </c>
      <c r="J744" s="44"/>
      <c r="K744" s="47"/>
      <c r="L744" s="38">
        <f>I744</f>
        <v>1187092.31</v>
      </c>
      <c r="M744" s="2">
        <f>ROUND(I744*$I$4874,2)</f>
        <v>857326.2</v>
      </c>
      <c r="N744" s="2">
        <f>ROUND(M744*1.2/105*100,2)</f>
        <v>979801.37</v>
      </c>
      <c r="O744" s="2">
        <f>ROUND(N744*0.05,2)</f>
        <v>48990.07</v>
      </c>
      <c r="P744" s="2">
        <f>N744+O744</f>
        <v>1028791.44</v>
      </c>
      <c r="Q744" s="3">
        <v>23</v>
      </c>
      <c r="S744" s="2">
        <v>190454.89</v>
      </c>
    </row>
    <row r="745" spans="1:33" x14ac:dyDescent="0.2">
      <c r="M745"/>
      <c r="N745"/>
      <c r="O745"/>
      <c r="P745"/>
      <c r="Q745"/>
    </row>
    <row r="746" spans="1:33" x14ac:dyDescent="0.2">
      <c r="M746"/>
      <c r="N746"/>
      <c r="O746"/>
      <c r="P746"/>
      <c r="Q746"/>
    </row>
    <row r="747" spans="1:33" ht="16.5" x14ac:dyDescent="0.25">
      <c r="A747" s="29" t="str">
        <f>CONCATENATE("Подраздел: ",IF([1]Source!G538&lt;&gt;"Новый подраздел", [1]Source!G538, ""))</f>
        <v>Подраздел: Уход за парапетом( S= 31.5 м2 )</v>
      </c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M747"/>
      <c r="N747"/>
      <c r="O747"/>
      <c r="P747"/>
      <c r="Q747"/>
    </row>
    <row r="748" spans="1:33" ht="14.25" x14ac:dyDescent="0.2">
      <c r="A748" s="31">
        <v>107</v>
      </c>
      <c r="B748" s="31" t="str">
        <f>[1]Source!F542</f>
        <v>калькуляция</v>
      </c>
      <c r="C748" s="31" t="str">
        <f>[1]Source!G542</f>
        <v>Очистка от снега парапета</v>
      </c>
      <c r="D748" s="32" t="str">
        <f>[1]Source!H542</f>
        <v>м2</v>
      </c>
      <c r="E748" s="4">
        <f>[1]Source!I542</f>
        <v>31.5</v>
      </c>
      <c r="F748" s="33"/>
      <c r="G748" s="34"/>
      <c r="H748" s="4"/>
      <c r="I748" s="4"/>
      <c r="J748" s="33"/>
      <c r="K748" s="33"/>
      <c r="M748"/>
      <c r="N748"/>
      <c r="O748"/>
      <c r="P748"/>
      <c r="Q748"/>
      <c r="AB748">
        <f>ROUND(([1]Source!BZ542/100)*ROUND(([1]Source!AF542*[1]Source!AV542)*[1]Source!I542, 2), 2)</f>
        <v>0</v>
      </c>
      <c r="AC748">
        <f>[1]Source!X542</f>
        <v>0</v>
      </c>
      <c r="AD748">
        <f>ROUND(([1]Source!CA542/100)*ROUND(([1]Source!AF542*[1]Source!AV542)*[1]Source!I542, 2), 2)</f>
        <v>0</v>
      </c>
      <c r="AE748">
        <f>[1]Source!Y542</f>
        <v>0</v>
      </c>
      <c r="AF748">
        <f>ROUND((175/100)*ROUND(([1]Source!AE542*[1]Source!AV542)*[1]Source!I542, 2), 2)</f>
        <v>0</v>
      </c>
      <c r="AG748">
        <f>ROUND((108/100)*ROUND([1]Source!CS542*[1]Source!I542, 2), 2)</f>
        <v>0</v>
      </c>
    </row>
    <row r="749" spans="1:33" ht="14.25" x14ac:dyDescent="0.2">
      <c r="A749" s="31"/>
      <c r="B749" s="31"/>
      <c r="C749" s="31" t="s">
        <v>34</v>
      </c>
      <c r="D749" s="32"/>
      <c r="E749" s="4"/>
      <c r="F749" s="33">
        <f>[1]Source!AO542</f>
        <v>6.9</v>
      </c>
      <c r="G749" s="34" t="str">
        <f>[1]Source!DG542</f>
        <v>)*1*10</v>
      </c>
      <c r="H749" s="4">
        <f>[1]Source!AV542</f>
        <v>1</v>
      </c>
      <c r="I749" s="4">
        <f>IF([1]Source!BA542&lt;&gt; 0, [1]Source!BA542, 1)</f>
        <v>1</v>
      </c>
      <c r="J749" s="33">
        <f>[1]Source!S542</f>
        <v>2173.5</v>
      </c>
      <c r="K749" s="33"/>
      <c r="M749"/>
      <c r="N749"/>
      <c r="O749"/>
      <c r="P749"/>
      <c r="Q749"/>
    </row>
    <row r="750" spans="1:33" ht="15" x14ac:dyDescent="0.25">
      <c r="A750" s="35"/>
      <c r="B750" s="35"/>
      <c r="C750" s="35"/>
      <c r="D750" s="35"/>
      <c r="E750" s="35"/>
      <c r="F750" s="35"/>
      <c r="G750" s="35"/>
      <c r="H750" s="35"/>
      <c r="I750" s="36">
        <f>J749</f>
        <v>2173.5</v>
      </c>
      <c r="J750" s="36"/>
      <c r="K750" s="37">
        <f>IF([1]Source!I542&lt;&gt;0, ROUND(I750/[1]Source!I542, 2), 0)</f>
        <v>69</v>
      </c>
      <c r="M750"/>
      <c r="N750"/>
      <c r="O750"/>
      <c r="P750"/>
      <c r="Q750"/>
      <c r="AA750" s="38">
        <f>I750</f>
        <v>2173.5</v>
      </c>
    </row>
    <row r="751" spans="1:33" x14ac:dyDescent="0.2">
      <c r="M751"/>
      <c r="N751"/>
      <c r="O751"/>
      <c r="P751"/>
      <c r="Q751"/>
    </row>
    <row r="752" spans="1:33" ht="15" x14ac:dyDescent="0.25">
      <c r="A752" s="42" t="str">
        <f>CONCATENATE("Итого по подразделу: ",IF([1]Source!G544&lt;&gt;"Новый подраздел", [1]Source!G544, ""))</f>
        <v>Итого по подразделу: Уход за парапетом( S= 31.5 м2 )</v>
      </c>
      <c r="B752" s="42"/>
      <c r="C752" s="42"/>
      <c r="D752" s="42"/>
      <c r="E752" s="42"/>
      <c r="F752" s="42"/>
      <c r="G752" s="42"/>
      <c r="H752" s="42"/>
      <c r="I752" s="43">
        <f>SUM(AA747:AA751)</f>
        <v>2173.5</v>
      </c>
      <c r="J752" s="44"/>
      <c r="K752" s="47"/>
      <c r="L752" s="38">
        <f>I752</f>
        <v>2173.5</v>
      </c>
      <c r="M752" s="2">
        <f>ROUND(I752*$I$4874,2)</f>
        <v>1569.72</v>
      </c>
      <c r="N752" s="2">
        <f>ROUND(M752*1.2/105*100,2)</f>
        <v>1793.97</v>
      </c>
      <c r="O752" s="2">
        <f>ROUND(N752*0.05,2)</f>
        <v>89.7</v>
      </c>
      <c r="P752" s="2">
        <f>N752+O752</f>
        <v>1883.67</v>
      </c>
      <c r="Q752" s="3">
        <v>26</v>
      </c>
      <c r="S752" s="2">
        <v>376.73</v>
      </c>
    </row>
    <row r="753" spans="1:43" x14ac:dyDescent="0.2">
      <c r="M753"/>
      <c r="N753"/>
      <c r="O753"/>
      <c r="P753"/>
      <c r="Q753"/>
    </row>
    <row r="754" spans="1:43" x14ac:dyDescent="0.2">
      <c r="M754"/>
      <c r="N754"/>
      <c r="O754"/>
      <c r="P754"/>
      <c r="Q754"/>
    </row>
    <row r="755" spans="1:43" ht="16.5" x14ac:dyDescent="0.25">
      <c r="A755" s="29" t="str">
        <f>CONCATENATE("Подраздел: ",IF([1]Source!G574&lt;&gt;"Новый подраздел", [1]Source!G574, ""))</f>
        <v>Подраздел: Сбор мусора.</v>
      </c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M755"/>
      <c r="N755"/>
      <c r="O755"/>
      <c r="P755"/>
      <c r="Q755"/>
    </row>
    <row r="756" spans="1:43" ht="28.5" x14ac:dyDescent="0.2">
      <c r="A756" s="31">
        <v>108</v>
      </c>
      <c r="B756" s="31" t="str">
        <f>[1]Source!F578</f>
        <v>5.4-1201-1-1/1</v>
      </c>
      <c r="C756" s="31" t="str">
        <f>[1]Source!G578</f>
        <v>Сбор случайного мусора по территории</v>
      </c>
      <c r="D756" s="32" t="str">
        <f>[1]Source!H578</f>
        <v>100 м2</v>
      </c>
      <c r="E756" s="4">
        <f>[1]Source!I578</f>
        <v>15.027799999999999</v>
      </c>
      <c r="F756" s="33"/>
      <c r="G756" s="34"/>
      <c r="H756" s="4"/>
      <c r="I756" s="4"/>
      <c r="J756" s="33"/>
      <c r="K756" s="33"/>
      <c r="M756"/>
      <c r="N756"/>
      <c r="O756"/>
      <c r="P756"/>
      <c r="Q756"/>
      <c r="AB756">
        <f>ROUND(([1]Source!BZ578/100)*ROUND(([1]Source!AF578*[1]Source!AV578)*[1]Source!I578, 2), 2)</f>
        <v>173226.05</v>
      </c>
      <c r="AC756">
        <f>[1]Source!X578</f>
        <v>173226.05</v>
      </c>
      <c r="AD756">
        <f>ROUND(([1]Source!CA578/100)*ROUND(([1]Source!AF578*[1]Source!AV578)*[1]Source!I578, 2), 2)</f>
        <v>24746.58</v>
      </c>
      <c r="AE756">
        <f>[1]Source!Y578</f>
        <v>24746.58</v>
      </c>
      <c r="AF756">
        <f>ROUND((175/100)*ROUND(([1]Source!AE578*[1]Source!AV578)*[1]Source!I578, 2), 2)</f>
        <v>0</v>
      </c>
      <c r="AG756">
        <f>ROUND((108/100)*ROUND([1]Source!CS578*[1]Source!I578, 2), 2)</f>
        <v>0</v>
      </c>
    </row>
    <row r="757" spans="1:43" x14ac:dyDescent="0.2">
      <c r="C757" s="40" t="str">
        <f>"Объем: "&amp;[1]Source!I578&amp;"=1502,78/"&amp;"100"</f>
        <v>Объем: 15,0278=1502,78/100</v>
      </c>
      <c r="M757"/>
      <c r="N757"/>
      <c r="O757"/>
      <c r="P757"/>
      <c r="Q757"/>
    </row>
    <row r="758" spans="1:43" ht="14.25" x14ac:dyDescent="0.2">
      <c r="A758" s="31"/>
      <c r="B758" s="31"/>
      <c r="C758" s="31" t="s">
        <v>34</v>
      </c>
      <c r="D758" s="32"/>
      <c r="E758" s="4"/>
      <c r="F758" s="33">
        <f>[1]Source!AO578</f>
        <v>12.4</v>
      </c>
      <c r="G758" s="34" t="str">
        <f>[1]Source!DG578</f>
        <v>)*4*332</v>
      </c>
      <c r="H758" s="4">
        <f>[1]Source!AV578</f>
        <v>1</v>
      </c>
      <c r="I758" s="4">
        <f>IF([1]Source!BA578&lt;&gt; 0, [1]Source!BA578, 1)</f>
        <v>1</v>
      </c>
      <c r="J758" s="33">
        <f>[1]Source!S578</f>
        <v>247465.79</v>
      </c>
      <c r="K758" s="33"/>
      <c r="M758"/>
      <c r="N758"/>
      <c r="O758"/>
      <c r="P758"/>
      <c r="Q758"/>
    </row>
    <row r="759" spans="1:43" ht="14.25" x14ac:dyDescent="0.2">
      <c r="A759" s="31"/>
      <c r="B759" s="31"/>
      <c r="C759" s="31" t="s">
        <v>47</v>
      </c>
      <c r="D759" s="32"/>
      <c r="E759" s="4"/>
      <c r="F759" s="33">
        <f>[1]Source!AL578</f>
        <v>0.69</v>
      </c>
      <c r="G759" s="34" t="str">
        <f>[1]Source!DD578</f>
        <v>)*4*332</v>
      </c>
      <c r="H759" s="4">
        <f>[1]Source!AW578</f>
        <v>1</v>
      </c>
      <c r="I759" s="4">
        <f>IF([1]Source!BC578&lt;&gt; 0, [1]Source!BC578, 1)</f>
        <v>1</v>
      </c>
      <c r="J759" s="33">
        <f>[1]Source!P578</f>
        <v>13770.27</v>
      </c>
      <c r="K759" s="33"/>
      <c r="M759"/>
      <c r="N759"/>
      <c r="O759"/>
      <c r="P759"/>
      <c r="Q759"/>
    </row>
    <row r="760" spans="1:43" ht="14.25" x14ac:dyDescent="0.2">
      <c r="A760" s="31"/>
      <c r="B760" s="31"/>
      <c r="C760" s="31" t="s">
        <v>40</v>
      </c>
      <c r="D760" s="32" t="s">
        <v>39</v>
      </c>
      <c r="E760" s="4">
        <f>[1]Source!AT578</f>
        <v>70</v>
      </c>
      <c r="F760" s="33"/>
      <c r="G760" s="34"/>
      <c r="H760" s="4"/>
      <c r="I760" s="4"/>
      <c r="J760" s="33">
        <f>SUM(AC756:AC759)</f>
        <v>173226.05</v>
      </c>
      <c r="K760" s="33"/>
      <c r="M760"/>
      <c r="N760"/>
      <c r="O760"/>
      <c r="P760"/>
      <c r="Q760"/>
    </row>
    <row r="761" spans="1:43" ht="14.25" x14ac:dyDescent="0.2">
      <c r="A761" s="31"/>
      <c r="B761" s="31"/>
      <c r="C761" s="31" t="s">
        <v>41</v>
      </c>
      <c r="D761" s="32" t="s">
        <v>39</v>
      </c>
      <c r="E761" s="4">
        <f>[1]Source!AU578</f>
        <v>10</v>
      </c>
      <c r="F761" s="33"/>
      <c r="G761" s="34"/>
      <c r="H761" s="4"/>
      <c r="I761" s="4"/>
      <c r="J761" s="33">
        <f>SUM(AE756:AE760)</f>
        <v>24746.58</v>
      </c>
      <c r="K761" s="33"/>
      <c r="M761"/>
      <c r="N761"/>
      <c r="O761"/>
      <c r="P761"/>
      <c r="Q761"/>
    </row>
    <row r="762" spans="1:43" ht="14.25" x14ac:dyDescent="0.2">
      <c r="A762" s="31"/>
      <c r="B762" s="31"/>
      <c r="C762" s="31" t="s">
        <v>42</v>
      </c>
      <c r="D762" s="32" t="s">
        <v>43</v>
      </c>
      <c r="E762" s="4">
        <f>[1]Source!AQ578</f>
        <v>0.05</v>
      </c>
      <c r="F762" s="33"/>
      <c r="G762" s="34" t="str">
        <f>[1]Source!DI578</f>
        <v>)*4*332</v>
      </c>
      <c r="H762" s="4">
        <f>[1]Source!AV578</f>
        <v>1</v>
      </c>
      <c r="I762" s="4"/>
      <c r="J762" s="33"/>
      <c r="K762" s="33">
        <f>[1]Source!U578</f>
        <v>997.84591999999998</v>
      </c>
      <c r="M762"/>
      <c r="N762"/>
      <c r="O762"/>
      <c r="P762"/>
      <c r="Q762"/>
    </row>
    <row r="763" spans="1:43" ht="15" x14ac:dyDescent="0.25">
      <c r="A763" s="35"/>
      <c r="B763" s="35"/>
      <c r="C763" s="35"/>
      <c r="D763" s="35"/>
      <c r="E763" s="35"/>
      <c r="F763" s="35"/>
      <c r="G763" s="35"/>
      <c r="H763" s="35"/>
      <c r="I763" s="36">
        <f>J758+J759+J760+J761</f>
        <v>459208.69</v>
      </c>
      <c r="J763" s="36"/>
      <c r="K763" s="37">
        <f>IF([1]Source!I578&lt;&gt;0, ROUND(I763/[1]Source!I578, 2), 0)</f>
        <v>30557.279999999999</v>
      </c>
      <c r="M763"/>
      <c r="N763"/>
      <c r="O763"/>
      <c r="P763"/>
      <c r="Q763"/>
      <c r="AA763" s="38">
        <f>I763</f>
        <v>459208.69</v>
      </c>
    </row>
    <row r="764" spans="1:43" x14ac:dyDescent="0.2">
      <c r="M764"/>
      <c r="N764"/>
      <c r="O764"/>
      <c r="P764"/>
      <c r="Q764"/>
    </row>
    <row r="765" spans="1:43" ht="15" x14ac:dyDescent="0.25">
      <c r="A765" s="42" t="str">
        <f>CONCATENATE("Итого по подразделу: ",IF([1]Source!G580&lt;&gt;"Новый подраздел", [1]Source!G580, ""))</f>
        <v>Итого по подразделу: Сбор мусора.</v>
      </c>
      <c r="B765" s="42"/>
      <c r="C765" s="42"/>
      <c r="D765" s="42"/>
      <c r="E765" s="42"/>
      <c r="F765" s="42"/>
      <c r="G765" s="42"/>
      <c r="H765" s="42"/>
      <c r="I765" s="43">
        <f>SUM(AA755:AA764)</f>
        <v>459208.69</v>
      </c>
      <c r="J765" s="44"/>
      <c r="K765" s="47"/>
      <c r="L765" s="38">
        <f>I765</f>
        <v>459208.69</v>
      </c>
      <c r="M765" s="2">
        <f>ROUND(I765*$I$4874,2)</f>
        <v>331643.65999999997</v>
      </c>
      <c r="N765" s="2">
        <f>ROUND(M765*1.2/105*100,2)</f>
        <v>379021.33</v>
      </c>
      <c r="O765" s="2">
        <f>ROUND(N765*0.05,2)</f>
        <v>18951.07</v>
      </c>
      <c r="P765" s="2">
        <f>N765+O765</f>
        <v>397972.4</v>
      </c>
      <c r="Q765" s="3">
        <v>27</v>
      </c>
      <c r="S765" s="2">
        <v>73121.460000000006</v>
      </c>
    </row>
    <row r="766" spans="1:43" x14ac:dyDescent="0.2">
      <c r="M766"/>
      <c r="N766"/>
      <c r="O766"/>
      <c r="P766"/>
      <c r="Q766"/>
    </row>
    <row r="767" spans="1:43" x14ac:dyDescent="0.2">
      <c r="M767"/>
      <c r="N767"/>
      <c r="O767"/>
      <c r="P767"/>
      <c r="Q767"/>
    </row>
    <row r="768" spans="1:43" ht="30" x14ac:dyDescent="0.25">
      <c r="A768" s="42" t="str">
        <f>CONCATENATE("Итого по разделу: ",IF([1]Source!G610&lt;&gt;"Новый раздел", [1]Source!G610, ""))</f>
        <v>Итого по разделу: Северный тоннель( S=1534,28 м2 , в т.ч. : покрытия напольные гранитные-1258,33 м2, площадки гранитные -147,5 м2, ступени гранитные-26,95 м2, пандус-70,0 м2, парапет-31,5 м2)</v>
      </c>
      <c r="B768" s="42"/>
      <c r="C768" s="42"/>
      <c r="D768" s="42"/>
      <c r="E768" s="42"/>
      <c r="F768" s="42"/>
      <c r="G768" s="42"/>
      <c r="H768" s="42"/>
      <c r="I768" s="43">
        <f>SUM(AA687:AA767)</f>
        <v>3993187.28</v>
      </c>
      <c r="J768" s="44"/>
      <c r="K768" s="47"/>
      <c r="L768" s="38">
        <f>I768</f>
        <v>3993187.28</v>
      </c>
      <c r="M768" s="2">
        <f>M718+M744+M752+M765</f>
        <v>2883907.2100000004</v>
      </c>
      <c r="N768" s="2">
        <f>N718+N744+N752+N765</f>
        <v>3295893.9600000004</v>
      </c>
      <c r="O768" s="2">
        <f>ROUND(N768*0.05,2)</f>
        <v>164794.70000000001</v>
      </c>
      <c r="P768" s="2">
        <f>SUM(P752:P765)</f>
        <v>399856.07</v>
      </c>
      <c r="Q768" s="48"/>
      <c r="R768">
        <v>2</v>
      </c>
      <c r="AQ768" s="46" t="str">
        <f>CONCATENATE("Итого по разделу: ",IF([1]Source!G610&lt;&gt;"Новый раздел", [1]Source!G610, ""))</f>
        <v>Итого по разделу: Северный тоннель( S=1534,28 м2 , в т.ч. : покрытия напольные гранитные-1258,33 м2, площадки гранитные -147,5 м2, ступени гранитные-26,95 м2, пандус-70,0 м2, парапет-31,5 м2)</v>
      </c>
    </row>
    <row r="769" spans="1:33" x14ac:dyDescent="0.2">
      <c r="M769"/>
      <c r="N769"/>
      <c r="O769"/>
      <c r="P769"/>
      <c r="Q769"/>
    </row>
    <row r="770" spans="1:33" x14ac:dyDescent="0.2">
      <c r="M770"/>
      <c r="N770"/>
      <c r="O770"/>
      <c r="P770"/>
      <c r="Q770"/>
    </row>
    <row r="771" spans="1:33" ht="16.5" x14ac:dyDescent="0.25">
      <c r="A771" s="29" t="str">
        <f>CONCATENATE("Раздел: ",IF([1]Source!G640&lt;&gt;"Новый раздел", [1]Source!G640, ""))</f>
        <v>Раздел: Содержание парковых лестниц ( S =3084 м2 )</v>
      </c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M771"/>
      <c r="N771"/>
      <c r="O771"/>
      <c r="P771"/>
      <c r="Q771"/>
    </row>
    <row r="772" spans="1:33" ht="14.25" x14ac:dyDescent="0.2">
      <c r="A772" s="31">
        <v>109</v>
      </c>
      <c r="B772" s="31" t="str">
        <f>[1]Source!F644</f>
        <v>калькуляция</v>
      </c>
      <c r="C772" s="31" t="str">
        <f>[1]Source!G644</f>
        <v>Подметание лестницы</v>
      </c>
      <c r="D772" s="32" t="str">
        <f>[1]Source!H644</f>
        <v>м2</v>
      </c>
      <c r="E772" s="4">
        <f>[1]Source!I644</f>
        <v>3084</v>
      </c>
      <c r="F772" s="33"/>
      <c r="G772" s="34"/>
      <c r="H772" s="4"/>
      <c r="I772" s="4"/>
      <c r="J772" s="33"/>
      <c r="K772" s="33"/>
      <c r="M772"/>
      <c r="N772"/>
      <c r="O772"/>
      <c r="P772"/>
      <c r="Q772"/>
      <c r="AB772">
        <f>ROUND(([1]Source!BZ644/100)*ROUND(([1]Source!AF644*[1]Source!AV644)*[1]Source!I644, 2), 2)</f>
        <v>0</v>
      </c>
      <c r="AC772">
        <f>[1]Source!X644</f>
        <v>0</v>
      </c>
      <c r="AD772">
        <f>ROUND(([1]Source!CA644/100)*ROUND(([1]Source!AF644*[1]Source!AV644)*[1]Source!I644, 2), 2)</f>
        <v>0</v>
      </c>
      <c r="AE772">
        <f>[1]Source!Y644</f>
        <v>0</v>
      </c>
      <c r="AF772">
        <f>ROUND((175/100)*ROUND(([1]Source!AE644*[1]Source!AV644)*[1]Source!I644, 2), 2)</f>
        <v>0</v>
      </c>
      <c r="AG772">
        <f>ROUND((108/100)*ROUND([1]Source!CS644*[1]Source!I644, 2), 2)</f>
        <v>0</v>
      </c>
    </row>
    <row r="773" spans="1:33" ht="14.25" x14ac:dyDescent="0.2">
      <c r="A773" s="31"/>
      <c r="B773" s="31"/>
      <c r="C773" s="31" t="s">
        <v>34</v>
      </c>
      <c r="D773" s="32"/>
      <c r="E773" s="4"/>
      <c r="F773" s="33">
        <f>[1]Source!AO644</f>
        <v>1.94</v>
      </c>
      <c r="G773" s="34" t="str">
        <f>[1]Source!DG644</f>
        <v>)*4*164</v>
      </c>
      <c r="H773" s="4">
        <f>[1]Source!AV644</f>
        <v>1</v>
      </c>
      <c r="I773" s="4">
        <f>IF([1]Source!BA644&lt;&gt; 0, [1]Source!BA644, 1)</f>
        <v>1</v>
      </c>
      <c r="J773" s="33">
        <f>[1]Source!S644</f>
        <v>3924821.76</v>
      </c>
      <c r="K773" s="33"/>
      <c r="M773"/>
      <c r="N773"/>
      <c r="O773"/>
      <c r="P773"/>
      <c r="Q773"/>
    </row>
    <row r="774" spans="1:33" ht="15" x14ac:dyDescent="0.25">
      <c r="A774" s="35"/>
      <c r="B774" s="35"/>
      <c r="C774" s="35"/>
      <c r="D774" s="35"/>
      <c r="E774" s="35"/>
      <c r="F774" s="35"/>
      <c r="G774" s="35"/>
      <c r="H774" s="35"/>
      <c r="I774" s="36">
        <f>J773</f>
        <v>3924821.76</v>
      </c>
      <c r="J774" s="36"/>
      <c r="K774" s="37">
        <f>IF([1]Source!I644&lt;&gt;0, ROUND(I774/[1]Source!I644, 2), 0)</f>
        <v>1272.6400000000001</v>
      </c>
      <c r="M774"/>
      <c r="N774"/>
      <c r="O774"/>
      <c r="P774"/>
      <c r="Q774"/>
      <c r="AA774" s="38">
        <f>I774</f>
        <v>3924821.76</v>
      </c>
    </row>
    <row r="775" spans="1:33" ht="42.75" x14ac:dyDescent="0.2">
      <c r="A775" s="31">
        <v>110</v>
      </c>
      <c r="B775" s="31" t="str">
        <f>[1]Source!F645</f>
        <v>5.3-1102-19-1/1</v>
      </c>
      <c r="C775" s="31" t="str">
        <f>[1]Source!G645</f>
        <v>Уборка лестниц от снега вручную на территории типа ВДНХ - толщиной до 10 см</v>
      </c>
      <c r="D775" s="32" t="str">
        <f>[1]Source!H645</f>
        <v>100 м2</v>
      </c>
      <c r="E775" s="4">
        <f>[1]Source!I645</f>
        <v>30.84</v>
      </c>
      <c r="F775" s="33"/>
      <c r="G775" s="34"/>
      <c r="H775" s="4"/>
      <c r="I775" s="4"/>
      <c r="J775" s="33"/>
      <c r="K775" s="33"/>
      <c r="M775"/>
      <c r="N775"/>
      <c r="O775"/>
      <c r="P775"/>
      <c r="Q775"/>
      <c r="AB775">
        <f>ROUND(([1]Source!BZ645/100)*ROUND(([1]Source!AF645*[1]Source!AV645)*[1]Source!I645, 2), 2)</f>
        <v>2230036.9500000002</v>
      </c>
      <c r="AC775">
        <f>[1]Source!X645</f>
        <v>2230036.9500000002</v>
      </c>
      <c r="AD775">
        <f>ROUND(([1]Source!CA645/100)*ROUND(([1]Source!AF645*[1]Source!AV645)*[1]Source!I645, 2), 2)</f>
        <v>318576.71000000002</v>
      </c>
      <c r="AE775">
        <f>[1]Source!Y645</f>
        <v>318576.71000000002</v>
      </c>
      <c r="AF775">
        <f>ROUND((175/100)*ROUND(([1]Source!AE645*[1]Source!AV645)*[1]Source!I645, 2), 2)</f>
        <v>0</v>
      </c>
      <c r="AG775">
        <f>ROUND((108/100)*ROUND([1]Source!CS645*[1]Source!I645, 2), 2)</f>
        <v>0</v>
      </c>
    </row>
    <row r="776" spans="1:33" x14ac:dyDescent="0.2">
      <c r="C776" s="40" t="str">
        <f>"Объем: "&amp;[1]Source!I645&amp;"=3084/"&amp;"100"</f>
        <v>Объем: 30,84=3084/100</v>
      </c>
      <c r="M776"/>
      <c r="N776"/>
      <c r="O776"/>
      <c r="P776"/>
      <c r="Q776"/>
    </row>
    <row r="777" spans="1:33" ht="14.25" x14ac:dyDescent="0.2">
      <c r="A777" s="31"/>
      <c r="B777" s="31"/>
      <c r="C777" s="31" t="s">
        <v>34</v>
      </c>
      <c r="D777" s="32"/>
      <c r="E777" s="4"/>
      <c r="F777" s="33">
        <f>[1]Source!AO645</f>
        <v>153.72</v>
      </c>
      <c r="G777" s="34" t="str">
        <f>[1]Source!DG645</f>
        <v>)*4*168</v>
      </c>
      <c r="H777" s="4">
        <f>[1]Source!AV645</f>
        <v>1</v>
      </c>
      <c r="I777" s="4">
        <f>IF([1]Source!BA645&lt;&gt; 0, [1]Source!BA645, 1)</f>
        <v>1</v>
      </c>
      <c r="J777" s="33">
        <f>[1]Source!S645</f>
        <v>3185767.07</v>
      </c>
      <c r="K777" s="33"/>
      <c r="M777"/>
      <c r="N777"/>
      <c r="O777"/>
      <c r="P777"/>
      <c r="Q777"/>
    </row>
    <row r="778" spans="1:33" ht="14.25" x14ac:dyDescent="0.2">
      <c r="A778" s="31"/>
      <c r="B778" s="31"/>
      <c r="C778" s="31" t="s">
        <v>40</v>
      </c>
      <c r="D778" s="32" t="s">
        <v>39</v>
      </c>
      <c r="E778" s="4">
        <f>[1]Source!AT645</f>
        <v>70</v>
      </c>
      <c r="F778" s="33"/>
      <c r="G778" s="34"/>
      <c r="H778" s="4"/>
      <c r="I778" s="4"/>
      <c r="J778" s="33">
        <f>SUM(AC775:AC777)</f>
        <v>2230036.9500000002</v>
      </c>
      <c r="K778" s="33"/>
      <c r="M778"/>
      <c r="N778"/>
      <c r="O778"/>
      <c r="P778"/>
      <c r="Q778"/>
    </row>
    <row r="779" spans="1:33" ht="14.25" x14ac:dyDescent="0.2">
      <c r="A779" s="31"/>
      <c r="B779" s="31"/>
      <c r="C779" s="31" t="s">
        <v>41</v>
      </c>
      <c r="D779" s="32" t="s">
        <v>39</v>
      </c>
      <c r="E779" s="4">
        <f>[1]Source!AU645</f>
        <v>10</v>
      </c>
      <c r="F779" s="33"/>
      <c r="G779" s="34"/>
      <c r="H779" s="4"/>
      <c r="I779" s="4"/>
      <c r="J779" s="33">
        <f>SUM(AE775:AE778)</f>
        <v>318576.71000000002</v>
      </c>
      <c r="K779" s="33"/>
      <c r="M779"/>
      <c r="N779"/>
      <c r="O779"/>
      <c r="P779"/>
      <c r="Q779"/>
    </row>
    <row r="780" spans="1:33" ht="14.25" x14ac:dyDescent="0.2">
      <c r="A780" s="31"/>
      <c r="B780" s="31"/>
      <c r="C780" s="31" t="s">
        <v>42</v>
      </c>
      <c r="D780" s="32" t="s">
        <v>43</v>
      </c>
      <c r="E780" s="4">
        <f>[1]Source!AQ645</f>
        <v>0.62</v>
      </c>
      <c r="F780" s="33"/>
      <c r="G780" s="34" t="str">
        <f>[1]Source!DI645</f>
        <v>)*4*168</v>
      </c>
      <c r="H780" s="4">
        <f>[1]Source!AV645</f>
        <v>1</v>
      </c>
      <c r="I780" s="4"/>
      <c r="J780" s="33"/>
      <c r="K780" s="33">
        <f>[1]Source!U645</f>
        <v>12849.177599999999</v>
      </c>
      <c r="M780"/>
      <c r="N780"/>
      <c r="O780"/>
      <c r="P780"/>
      <c r="Q780"/>
    </row>
    <row r="781" spans="1:33" ht="15" x14ac:dyDescent="0.25">
      <c r="A781" s="35"/>
      <c r="B781" s="35"/>
      <c r="C781" s="35"/>
      <c r="D781" s="35"/>
      <c r="E781" s="35"/>
      <c r="F781" s="35"/>
      <c r="G781" s="35"/>
      <c r="H781" s="35"/>
      <c r="I781" s="36">
        <f>J777+J778+J779</f>
        <v>5734380.7299999995</v>
      </c>
      <c r="J781" s="36"/>
      <c r="K781" s="37">
        <f>IF([1]Source!I645&lt;&gt;0, ROUND(I781/[1]Source!I645, 2), 0)</f>
        <v>185939.71</v>
      </c>
      <c r="M781"/>
      <c r="N781"/>
      <c r="O781"/>
      <c r="P781"/>
      <c r="Q781"/>
      <c r="AA781" s="38">
        <f>I781</f>
        <v>5734380.7299999995</v>
      </c>
    </row>
    <row r="782" spans="1:33" ht="28.5" x14ac:dyDescent="0.2">
      <c r="A782" s="31">
        <v>111</v>
      </c>
      <c r="B782" s="31" t="str">
        <f>[1]Source!F646</f>
        <v>5.3-1102-8-3/1</v>
      </c>
      <c r="C782" s="31" t="str">
        <f>[1]Source!G646</f>
        <v>Уборка слежавшегося снега вручную ( 10% от 3084 м2 )</v>
      </c>
      <c r="D782" s="32" t="str">
        <f>[1]Source!H646</f>
        <v>100 м2</v>
      </c>
      <c r="E782" s="4">
        <f>[1]Source!I646</f>
        <v>3.0840000000000001</v>
      </c>
      <c r="F782" s="33"/>
      <c r="G782" s="34"/>
      <c r="H782" s="4"/>
      <c r="I782" s="4"/>
      <c r="J782" s="33"/>
      <c r="K782" s="33"/>
      <c r="M782"/>
      <c r="N782"/>
      <c r="O782"/>
      <c r="P782"/>
      <c r="Q782"/>
      <c r="AB782">
        <f>ROUND(([1]Source!BZ646/100)*ROUND(([1]Source!AF646*[1]Source!AV646)*[1]Source!I646, 2), 2)</f>
        <v>34393.699999999997</v>
      </c>
      <c r="AC782">
        <f>[1]Source!X646</f>
        <v>34393.699999999997</v>
      </c>
      <c r="AD782">
        <f>ROUND(([1]Source!CA646/100)*ROUND(([1]Source!AF646*[1]Source!AV646)*[1]Source!I646, 2), 2)</f>
        <v>4913.3900000000003</v>
      </c>
      <c r="AE782">
        <f>[1]Source!Y646</f>
        <v>4913.3900000000003</v>
      </c>
      <c r="AF782">
        <f>ROUND((175/100)*ROUND(([1]Source!AE646*[1]Source!AV646)*[1]Source!I646, 2), 2)</f>
        <v>0</v>
      </c>
      <c r="AG782">
        <f>ROUND((108/100)*ROUND([1]Source!CS646*[1]Source!I646, 2), 2)</f>
        <v>0</v>
      </c>
    </row>
    <row r="783" spans="1:33" x14ac:dyDescent="0.2">
      <c r="C783" s="40" t="str">
        <f>"Объем: "&amp;[1]Source!I646&amp;"=308,4/"&amp;"100"</f>
        <v>Объем: 3,084=308,4/100</v>
      </c>
      <c r="M783"/>
      <c r="N783"/>
      <c r="O783"/>
      <c r="P783"/>
      <c r="Q783"/>
    </row>
    <row r="784" spans="1:33" ht="14.25" x14ac:dyDescent="0.2">
      <c r="A784" s="31"/>
      <c r="B784" s="31"/>
      <c r="C784" s="31" t="s">
        <v>34</v>
      </c>
      <c r="D784" s="32"/>
      <c r="E784" s="4"/>
      <c r="F784" s="33">
        <f>[1]Source!AO646</f>
        <v>379.33</v>
      </c>
      <c r="G784" s="34" t="str">
        <f>[1]Source!DG646</f>
        <v>)*1*42</v>
      </c>
      <c r="H784" s="4">
        <f>[1]Source!AV646</f>
        <v>1</v>
      </c>
      <c r="I784" s="4">
        <f>IF([1]Source!BA646&lt;&gt; 0, [1]Source!BA646, 1)</f>
        <v>1</v>
      </c>
      <c r="J784" s="33">
        <f>[1]Source!S646</f>
        <v>49133.86</v>
      </c>
      <c r="K784" s="33"/>
      <c r="M784"/>
      <c r="N784"/>
      <c r="O784"/>
      <c r="P784"/>
      <c r="Q784"/>
    </row>
    <row r="785" spans="1:33" ht="14.25" x14ac:dyDescent="0.2">
      <c r="A785" s="31"/>
      <c r="B785" s="31"/>
      <c r="C785" s="31" t="s">
        <v>40</v>
      </c>
      <c r="D785" s="32" t="s">
        <v>39</v>
      </c>
      <c r="E785" s="4">
        <f>[1]Source!AT646</f>
        <v>70</v>
      </c>
      <c r="F785" s="33"/>
      <c r="G785" s="34"/>
      <c r="H785" s="4"/>
      <c r="I785" s="4"/>
      <c r="J785" s="33">
        <f>SUM(AC782:AC784)</f>
        <v>34393.699999999997</v>
      </c>
      <c r="K785" s="33"/>
      <c r="M785"/>
      <c r="N785"/>
      <c r="O785"/>
      <c r="P785"/>
      <c r="Q785"/>
    </row>
    <row r="786" spans="1:33" ht="14.25" x14ac:dyDescent="0.2">
      <c r="A786" s="31"/>
      <c r="B786" s="31"/>
      <c r="C786" s="31" t="s">
        <v>41</v>
      </c>
      <c r="D786" s="32" t="s">
        <v>39</v>
      </c>
      <c r="E786" s="4">
        <f>[1]Source!AU646</f>
        <v>10</v>
      </c>
      <c r="F786" s="33"/>
      <c r="G786" s="34"/>
      <c r="H786" s="4"/>
      <c r="I786" s="4"/>
      <c r="J786" s="33">
        <f>SUM(AE782:AE785)</f>
        <v>4913.3900000000003</v>
      </c>
      <c r="K786" s="33"/>
      <c r="M786"/>
      <c r="N786"/>
      <c r="O786"/>
      <c r="P786"/>
      <c r="Q786"/>
    </row>
    <row r="787" spans="1:33" ht="14.25" x14ac:dyDescent="0.2">
      <c r="A787" s="31"/>
      <c r="B787" s="31"/>
      <c r="C787" s="31" t="s">
        <v>42</v>
      </c>
      <c r="D787" s="32" t="s">
        <v>43</v>
      </c>
      <c r="E787" s="4">
        <f>[1]Source!AQ646</f>
        <v>1.53</v>
      </c>
      <c r="F787" s="33"/>
      <c r="G787" s="34" t="str">
        <f>[1]Source!DI646</f>
        <v>)*1*42</v>
      </c>
      <c r="H787" s="4">
        <f>[1]Source!AV646</f>
        <v>1</v>
      </c>
      <c r="I787" s="4"/>
      <c r="J787" s="33"/>
      <c r="K787" s="33">
        <f>[1]Source!U646</f>
        <v>198.17784000000003</v>
      </c>
      <c r="M787"/>
      <c r="N787"/>
      <c r="O787"/>
      <c r="P787"/>
      <c r="Q787"/>
    </row>
    <row r="788" spans="1:33" ht="15" x14ac:dyDescent="0.25">
      <c r="A788" s="35"/>
      <c r="B788" s="35"/>
      <c r="C788" s="35"/>
      <c r="D788" s="35"/>
      <c r="E788" s="35"/>
      <c r="F788" s="35"/>
      <c r="G788" s="35"/>
      <c r="H788" s="35"/>
      <c r="I788" s="36">
        <f>J784+J785+J786</f>
        <v>88440.95</v>
      </c>
      <c r="J788" s="36"/>
      <c r="K788" s="37">
        <f>IF([1]Source!I646&lt;&gt;0, ROUND(I788/[1]Source!I646, 2), 0)</f>
        <v>28677.35</v>
      </c>
      <c r="M788"/>
      <c r="N788"/>
      <c r="O788"/>
      <c r="P788"/>
      <c r="Q788"/>
      <c r="AA788" s="38">
        <f>I788</f>
        <v>88440.95</v>
      </c>
    </row>
    <row r="789" spans="1:33" ht="28.5" x14ac:dyDescent="0.2">
      <c r="A789" s="31">
        <v>112</v>
      </c>
      <c r="B789" s="31" t="str">
        <f>[1]Source!F647</f>
        <v>калькуляция</v>
      </c>
      <c r="C789" s="31" t="str">
        <f>[1]Source!G647</f>
        <v>Посыпка гранитной крошкой  дорожных покрытий вручную( 100г/м2 )</v>
      </c>
      <c r="D789" s="32" t="str">
        <f>[1]Source!H647</f>
        <v>м2</v>
      </c>
      <c r="E789" s="4">
        <f>[1]Source!I647</f>
        <v>3084</v>
      </c>
      <c r="F789" s="33"/>
      <c r="G789" s="34"/>
      <c r="H789" s="4"/>
      <c r="I789" s="4"/>
      <c r="J789" s="33"/>
      <c r="K789" s="33"/>
      <c r="M789"/>
      <c r="N789"/>
      <c r="O789"/>
      <c r="P789"/>
      <c r="Q789"/>
      <c r="AB789">
        <f>ROUND(([1]Source!BZ647/100)*ROUND(([1]Source!AF647*[1]Source!AV647)*[1]Source!I647, 2), 2)</f>
        <v>0</v>
      </c>
      <c r="AC789">
        <f>[1]Source!X647</f>
        <v>0</v>
      </c>
      <c r="AD789">
        <f>ROUND(([1]Source!CA647/100)*ROUND(([1]Source!AF647*[1]Source!AV647)*[1]Source!I647, 2), 2)</f>
        <v>0</v>
      </c>
      <c r="AE789">
        <f>[1]Source!Y647</f>
        <v>0</v>
      </c>
      <c r="AF789">
        <f>ROUND((175/100)*ROUND(([1]Source!AE647*[1]Source!AV647)*[1]Source!I647, 2), 2)</f>
        <v>0</v>
      </c>
      <c r="AG789">
        <f>ROUND((108/100)*ROUND([1]Source!CS647*[1]Source!I647, 2), 2)</f>
        <v>0</v>
      </c>
    </row>
    <row r="790" spans="1:33" ht="14.25" x14ac:dyDescent="0.2">
      <c r="A790" s="31"/>
      <c r="B790" s="31"/>
      <c r="C790" s="31" t="s">
        <v>34</v>
      </c>
      <c r="D790" s="32"/>
      <c r="E790" s="4"/>
      <c r="F790" s="33">
        <f>[1]Source!AO647</f>
        <v>2.08</v>
      </c>
      <c r="G790" s="34" t="str">
        <f>[1]Source!DG647</f>
        <v>)*4*168</v>
      </c>
      <c r="H790" s="4">
        <f>[1]Source!AV647</f>
        <v>1</v>
      </c>
      <c r="I790" s="4">
        <f>IF([1]Source!BA647&lt;&gt; 0, [1]Source!BA647, 1)</f>
        <v>1</v>
      </c>
      <c r="J790" s="33">
        <f>[1]Source!S647</f>
        <v>4310691.8399999999</v>
      </c>
      <c r="K790" s="33"/>
      <c r="M790"/>
      <c r="N790"/>
      <c r="O790"/>
      <c r="P790"/>
      <c r="Q790"/>
    </row>
    <row r="791" spans="1:33" ht="14.25" x14ac:dyDescent="0.2">
      <c r="A791" s="31" t="s">
        <v>65</v>
      </c>
      <c r="B791" s="31" t="str">
        <f>[1]Source!F648</f>
        <v>цена поставщика</v>
      </c>
      <c r="C791" s="31" t="str">
        <f>[1]Source!G648</f>
        <v>Крошка гранитная</v>
      </c>
      <c r="D791" s="32" t="str">
        <f>[1]Source!H648</f>
        <v>кг</v>
      </c>
      <c r="E791" s="4">
        <f>[1]Source!I648</f>
        <v>207244.80000000002</v>
      </c>
      <c r="F791" s="33">
        <f>[1]Source!AK648</f>
        <v>4.43</v>
      </c>
      <c r="G791" s="39" t="s">
        <v>45</v>
      </c>
      <c r="H791" s="4">
        <f>[1]Source!AW648</f>
        <v>1</v>
      </c>
      <c r="I791" s="4">
        <f>IF([1]Source!BC648&lt;&gt; 0, [1]Source!BC648, 1)</f>
        <v>1</v>
      </c>
      <c r="J791" s="33">
        <f>[1]Source!O648</f>
        <v>918094.46</v>
      </c>
      <c r="K791" s="33"/>
      <c r="M791"/>
      <c r="N791"/>
      <c r="O791"/>
      <c r="P791"/>
      <c r="Q791"/>
      <c r="AB791">
        <f>ROUND(([1]Source!BZ648/100)*ROUND(([1]Source!AF648*[1]Source!AV648)*[1]Source!I648, 2), 2)</f>
        <v>0</v>
      </c>
      <c r="AC791">
        <f>[1]Source!X648</f>
        <v>0</v>
      </c>
      <c r="AD791">
        <f>ROUND(([1]Source!CA648/100)*ROUND(([1]Source!AF648*[1]Source!AV648)*[1]Source!I648, 2), 2)</f>
        <v>0</v>
      </c>
      <c r="AE791">
        <f>[1]Source!Y648</f>
        <v>0</v>
      </c>
      <c r="AF791">
        <f>ROUND((175/100)*ROUND(([1]Source!AE648*[1]Source!AV648)*[1]Source!I648, 2), 2)</f>
        <v>0</v>
      </c>
      <c r="AG791">
        <f>ROUND((108/100)*ROUND([1]Source!CS648*[1]Source!I648, 2), 2)</f>
        <v>0</v>
      </c>
    </row>
    <row r="792" spans="1:33" ht="15" x14ac:dyDescent="0.25">
      <c r="A792" s="35"/>
      <c r="B792" s="35"/>
      <c r="C792" s="35"/>
      <c r="D792" s="35"/>
      <c r="E792" s="35"/>
      <c r="F792" s="35"/>
      <c r="G792" s="35"/>
      <c r="H792" s="35"/>
      <c r="I792" s="36">
        <f>J790+SUM(J791:J791)</f>
        <v>5228786.3</v>
      </c>
      <c r="J792" s="36"/>
      <c r="K792" s="37">
        <f>IF([1]Source!I647&lt;&gt;0, ROUND(I792/[1]Source!I647, 2), 0)</f>
        <v>1695.46</v>
      </c>
      <c r="M792"/>
      <c r="N792"/>
      <c r="O792"/>
      <c r="P792"/>
      <c r="Q792"/>
      <c r="AA792" s="38">
        <f>I792</f>
        <v>5228786.3</v>
      </c>
    </row>
    <row r="793" spans="1:33" ht="28.5" x14ac:dyDescent="0.2">
      <c r="A793" s="31">
        <v>113</v>
      </c>
      <c r="B793" s="31" t="str">
        <f>[1]Source!F649</f>
        <v>5.4-1201-1-1/1</v>
      </c>
      <c r="C793" s="31" t="str">
        <f>[1]Source!G649</f>
        <v>Сбор случайного мусора по территории</v>
      </c>
      <c r="D793" s="32" t="str">
        <f>[1]Source!H649</f>
        <v>100 м2</v>
      </c>
      <c r="E793" s="4">
        <f>[1]Source!I649</f>
        <v>30.84</v>
      </c>
      <c r="F793" s="33"/>
      <c r="G793" s="34"/>
      <c r="H793" s="4"/>
      <c r="I793" s="4"/>
      <c r="J793" s="33"/>
      <c r="K793" s="33"/>
      <c r="M793"/>
      <c r="N793"/>
      <c r="O793"/>
      <c r="P793"/>
      <c r="Q793"/>
      <c r="AB793">
        <f>ROUND(([1]Source!BZ649/100)*ROUND(([1]Source!AF649*[1]Source!AV649)*[1]Source!I649, 2), 2)</f>
        <v>355493.92</v>
      </c>
      <c r="AC793">
        <f>[1]Source!X649</f>
        <v>355493.92</v>
      </c>
      <c r="AD793">
        <f>ROUND(([1]Source!CA649/100)*ROUND(([1]Source!AF649*[1]Source!AV649)*[1]Source!I649, 2), 2)</f>
        <v>50784.85</v>
      </c>
      <c r="AE793">
        <f>[1]Source!Y649</f>
        <v>50784.85</v>
      </c>
      <c r="AF793">
        <f>ROUND((175/100)*ROUND(([1]Source!AE649*[1]Source!AV649)*[1]Source!I649, 2), 2)</f>
        <v>0</v>
      </c>
      <c r="AG793">
        <f>ROUND((108/100)*ROUND([1]Source!CS649*[1]Source!I649, 2), 2)</f>
        <v>0</v>
      </c>
    </row>
    <row r="794" spans="1:33" x14ac:dyDescent="0.2">
      <c r="C794" s="40" t="str">
        <f>"Объем: "&amp;[1]Source!I649&amp;"=3084/"&amp;"100"</f>
        <v>Объем: 30,84=3084/100</v>
      </c>
      <c r="M794"/>
      <c r="N794"/>
      <c r="O794"/>
      <c r="P794"/>
      <c r="Q794"/>
    </row>
    <row r="795" spans="1:33" ht="14.25" x14ac:dyDescent="0.2">
      <c r="A795" s="31"/>
      <c r="B795" s="31"/>
      <c r="C795" s="31" t="s">
        <v>34</v>
      </c>
      <c r="D795" s="32"/>
      <c r="E795" s="4"/>
      <c r="F795" s="33">
        <f>[1]Source!AO649</f>
        <v>12.4</v>
      </c>
      <c r="G795" s="34" t="str">
        <f>[1]Source!DG649</f>
        <v>)*4*332</v>
      </c>
      <c r="H795" s="4">
        <f>[1]Source!AV649</f>
        <v>1</v>
      </c>
      <c r="I795" s="4">
        <f>IF([1]Source!BA649&lt;&gt; 0, [1]Source!BA649, 1)</f>
        <v>1</v>
      </c>
      <c r="J795" s="33">
        <f>[1]Source!S649</f>
        <v>507848.45</v>
      </c>
      <c r="K795" s="33"/>
      <c r="M795"/>
      <c r="N795"/>
      <c r="O795"/>
      <c r="P795"/>
      <c r="Q795"/>
    </row>
    <row r="796" spans="1:33" ht="14.25" x14ac:dyDescent="0.2">
      <c r="A796" s="31"/>
      <c r="B796" s="31"/>
      <c r="C796" s="31" t="s">
        <v>47</v>
      </c>
      <c r="D796" s="32"/>
      <c r="E796" s="4"/>
      <c r="F796" s="33">
        <f>[1]Source!AL649</f>
        <v>0.69</v>
      </c>
      <c r="G796" s="34" t="str">
        <f>[1]Source!DD649</f>
        <v>)*4*332</v>
      </c>
      <c r="H796" s="4">
        <f>[1]Source!AW649</f>
        <v>1</v>
      </c>
      <c r="I796" s="4">
        <f>IF([1]Source!BC649&lt;&gt; 0, [1]Source!BC649, 1)</f>
        <v>1</v>
      </c>
      <c r="J796" s="33">
        <f>[1]Source!P649</f>
        <v>28259.31</v>
      </c>
      <c r="K796" s="33"/>
      <c r="M796"/>
      <c r="N796"/>
      <c r="O796"/>
      <c r="P796"/>
      <c r="Q796"/>
    </row>
    <row r="797" spans="1:33" ht="14.25" x14ac:dyDescent="0.2">
      <c r="A797" s="31"/>
      <c r="B797" s="31"/>
      <c r="C797" s="31" t="s">
        <v>40</v>
      </c>
      <c r="D797" s="32" t="s">
        <v>39</v>
      </c>
      <c r="E797" s="4">
        <f>[1]Source!AT649</f>
        <v>70</v>
      </c>
      <c r="F797" s="33"/>
      <c r="G797" s="34"/>
      <c r="H797" s="4"/>
      <c r="I797" s="4"/>
      <c r="J797" s="33">
        <f>SUM(AC793:AC796)</f>
        <v>355493.92</v>
      </c>
      <c r="K797" s="33"/>
      <c r="M797"/>
      <c r="N797"/>
      <c r="O797"/>
      <c r="P797"/>
      <c r="Q797"/>
    </row>
    <row r="798" spans="1:33" ht="14.25" x14ac:dyDescent="0.2">
      <c r="A798" s="31"/>
      <c r="B798" s="31"/>
      <c r="C798" s="31" t="s">
        <v>41</v>
      </c>
      <c r="D798" s="32" t="s">
        <v>39</v>
      </c>
      <c r="E798" s="4">
        <f>[1]Source!AU649</f>
        <v>10</v>
      </c>
      <c r="F798" s="33"/>
      <c r="G798" s="34"/>
      <c r="H798" s="4"/>
      <c r="I798" s="4"/>
      <c r="J798" s="33">
        <f>SUM(AE793:AE797)</f>
        <v>50784.85</v>
      </c>
      <c r="K798" s="33"/>
      <c r="M798"/>
      <c r="N798"/>
      <c r="O798"/>
      <c r="P798"/>
      <c r="Q798"/>
    </row>
    <row r="799" spans="1:33" ht="14.25" x14ac:dyDescent="0.2">
      <c r="A799" s="31"/>
      <c r="B799" s="31"/>
      <c r="C799" s="31" t="s">
        <v>42</v>
      </c>
      <c r="D799" s="32" t="s">
        <v>43</v>
      </c>
      <c r="E799" s="4">
        <f>[1]Source!AQ649</f>
        <v>0.05</v>
      </c>
      <c r="F799" s="33"/>
      <c r="G799" s="34" t="str">
        <f>[1]Source!DI649</f>
        <v>)*4*332</v>
      </c>
      <c r="H799" s="4">
        <f>[1]Source!AV649</f>
        <v>1</v>
      </c>
      <c r="I799" s="4"/>
      <c r="J799" s="33"/>
      <c r="K799" s="33">
        <f>[1]Source!U649</f>
        <v>2047.7760000000001</v>
      </c>
      <c r="M799"/>
      <c r="N799"/>
      <c r="O799"/>
      <c r="P799"/>
      <c r="Q799"/>
    </row>
    <row r="800" spans="1:33" ht="15" x14ac:dyDescent="0.25">
      <c r="A800" s="35"/>
      <c r="B800" s="35"/>
      <c r="C800" s="35"/>
      <c r="D800" s="35"/>
      <c r="E800" s="35"/>
      <c r="F800" s="35"/>
      <c r="G800" s="35"/>
      <c r="H800" s="35"/>
      <c r="I800" s="36">
        <f>J795+J796+J797+J798</f>
        <v>942386.52999999991</v>
      </c>
      <c r="J800" s="36"/>
      <c r="K800" s="37">
        <f>IF([1]Source!I649&lt;&gt;0, ROUND(I800/[1]Source!I649, 2), 0)</f>
        <v>30557.279999999999</v>
      </c>
      <c r="M800"/>
      <c r="N800"/>
      <c r="O800"/>
      <c r="P800"/>
      <c r="Q800"/>
      <c r="AA800" s="38">
        <f>I800</f>
        <v>942386.52999999991</v>
      </c>
    </row>
    <row r="801" spans="1:42" x14ac:dyDescent="0.2">
      <c r="M801"/>
      <c r="N801"/>
      <c r="O801"/>
      <c r="P801"/>
      <c r="Q801"/>
    </row>
    <row r="802" spans="1:42" ht="15" x14ac:dyDescent="0.25">
      <c r="A802" s="42" t="str">
        <f>CONCATENATE("Итого по разделу: ",IF([1]Source!G651&lt;&gt;"Новый раздел", [1]Source!G651, ""))</f>
        <v>Итого по разделу: Содержание парковых лестниц ( S =3084 м2 )</v>
      </c>
      <c r="B802" s="42"/>
      <c r="C802" s="42"/>
      <c r="D802" s="42"/>
      <c r="E802" s="42"/>
      <c r="F802" s="42"/>
      <c r="G802" s="42"/>
      <c r="H802" s="42"/>
      <c r="I802" s="43">
        <f>SUM(AA771:AA801)</f>
        <v>15918816.269999998</v>
      </c>
      <c r="J802" s="44"/>
      <c r="K802" s="47"/>
      <c r="L802" s="38">
        <f>I802</f>
        <v>15918816.269999998</v>
      </c>
      <c r="M802" s="2">
        <f>ROUND(I802*$I$4874,2)</f>
        <v>11496678.119999999</v>
      </c>
      <c r="N802" s="2">
        <f>ROUND(M802*1.2/105*100,2)</f>
        <v>13139060.710000001</v>
      </c>
      <c r="O802" s="2">
        <f>ROUND(N802*0.05,2)</f>
        <v>656953.04</v>
      </c>
      <c r="P802" s="2">
        <f>N802+O802</f>
        <v>13796013.75</v>
      </c>
      <c r="Q802" s="3">
        <v>28</v>
      </c>
      <c r="R802">
        <v>2</v>
      </c>
      <c r="S802" s="2">
        <v>2911704.87</v>
      </c>
    </row>
    <row r="803" spans="1:42" x14ac:dyDescent="0.2">
      <c r="M803"/>
      <c r="N803"/>
      <c r="O803"/>
      <c r="P803"/>
      <c r="Q803"/>
    </row>
    <row r="804" spans="1:42" x14ac:dyDescent="0.2">
      <c r="M804"/>
      <c r="N804"/>
      <c r="O804"/>
      <c r="P804"/>
      <c r="Q804"/>
    </row>
    <row r="805" spans="1:42" ht="16.5" x14ac:dyDescent="0.25">
      <c r="A805" s="29" t="str">
        <f>CONCATENATE("Раздел: ",IF([1]Source!G681&lt;&gt;"Новый раздел", [1]Source!G681, ""))</f>
        <v>Раздел: Содержание  площадки, покрытой гранитной плиткой, перед рестораном " Восход ". ( S= 257 м2 )</v>
      </c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M805"/>
      <c r="N805"/>
      <c r="O805"/>
      <c r="P805"/>
      <c r="Q805"/>
      <c r="AP805" s="30" t="str">
        <f>CONCATENATE("Раздел: ",IF([1]Source!G681&lt;&gt;"Новый раздел", [1]Source!G681, ""))</f>
        <v>Раздел: Содержание  площадки, покрытой гранитной плиткой, перед рестораном " Восход ". ( S= 257 м2 )</v>
      </c>
    </row>
    <row r="806" spans="1:42" ht="28.5" x14ac:dyDescent="0.2">
      <c r="A806" s="31">
        <v>114</v>
      </c>
      <c r="B806" s="31" t="str">
        <f>[1]Source!F685</f>
        <v>калькуляция</v>
      </c>
      <c r="C806" s="31" t="str">
        <f>[1]Source!G685</f>
        <v>Подметание дорожек  вручную ( S=257 м2)</v>
      </c>
      <c r="D806" s="32" t="str">
        <f>[1]Source!H685</f>
        <v>м2</v>
      </c>
      <c r="E806" s="4">
        <f>[1]Source!I685</f>
        <v>257</v>
      </c>
      <c r="F806" s="33"/>
      <c r="G806" s="34"/>
      <c r="H806" s="4"/>
      <c r="I806" s="4"/>
      <c r="J806" s="33"/>
      <c r="K806" s="33"/>
      <c r="M806"/>
      <c r="N806"/>
      <c r="O806"/>
      <c r="P806"/>
      <c r="Q806"/>
      <c r="AB806">
        <f>ROUND(([1]Source!BZ685/100)*ROUND(([1]Source!AF685*[1]Source!AV685)*[1]Source!I685, 2), 2)</f>
        <v>0</v>
      </c>
      <c r="AC806">
        <f>[1]Source!X685</f>
        <v>0</v>
      </c>
      <c r="AD806">
        <f>ROUND(([1]Source!CA685/100)*ROUND(([1]Source!AF685*[1]Source!AV685)*[1]Source!I685, 2), 2)</f>
        <v>0</v>
      </c>
      <c r="AE806">
        <f>[1]Source!Y685</f>
        <v>0</v>
      </c>
      <c r="AF806">
        <f>ROUND((175/100)*ROUND(([1]Source!AE685*[1]Source!AV685)*[1]Source!I685, 2), 2)</f>
        <v>0</v>
      </c>
      <c r="AG806">
        <f>ROUND((108/100)*ROUND([1]Source!CS685*[1]Source!I685, 2), 2)</f>
        <v>0</v>
      </c>
    </row>
    <row r="807" spans="1:42" ht="14.25" x14ac:dyDescent="0.2">
      <c r="A807" s="31"/>
      <c r="B807" s="31"/>
      <c r="C807" s="31" t="s">
        <v>34</v>
      </c>
      <c r="D807" s="32"/>
      <c r="E807" s="4"/>
      <c r="F807" s="33">
        <f>[1]Source!AO685</f>
        <v>1.32</v>
      </c>
      <c r="G807" s="34" t="str">
        <f>[1]Source!DG685</f>
        <v>)*4*164</v>
      </c>
      <c r="H807" s="4">
        <f>[1]Source!AV685</f>
        <v>1</v>
      </c>
      <c r="I807" s="4">
        <f>IF([1]Source!BA685&lt;&gt; 0, [1]Source!BA685, 1)</f>
        <v>1</v>
      </c>
      <c r="J807" s="33">
        <f>[1]Source!S685</f>
        <v>222541.44</v>
      </c>
      <c r="K807" s="33"/>
      <c r="M807"/>
      <c r="N807"/>
      <c r="O807"/>
      <c r="P807"/>
      <c r="Q807"/>
    </row>
    <row r="808" spans="1:42" ht="15" x14ac:dyDescent="0.25">
      <c r="A808" s="35"/>
      <c r="B808" s="35"/>
      <c r="C808" s="35"/>
      <c r="D808" s="35"/>
      <c r="E808" s="35"/>
      <c r="F808" s="35"/>
      <c r="G808" s="35"/>
      <c r="H808" s="35"/>
      <c r="I808" s="36">
        <f>J807</f>
        <v>222541.44</v>
      </c>
      <c r="J808" s="36"/>
      <c r="K808" s="37">
        <f>IF([1]Source!I685&lt;&gt;0, ROUND(I808/[1]Source!I685, 2), 0)</f>
        <v>865.92</v>
      </c>
      <c r="M808"/>
      <c r="N808"/>
      <c r="O808"/>
      <c r="P808"/>
      <c r="Q808"/>
      <c r="AA808" s="38">
        <f>I808</f>
        <v>222541.44</v>
      </c>
    </row>
    <row r="809" spans="1:42" ht="42.75" x14ac:dyDescent="0.2">
      <c r="A809" s="31">
        <v>115</v>
      </c>
      <c r="B809" s="31" t="str">
        <f>[1]Source!F686</f>
        <v>5.3-1102-8-1/1</v>
      </c>
      <c r="C809" s="31" t="str">
        <f>[1]Source!G686</f>
        <v>Уборка свежевыпавшего снега вручную толщиной слоя до 10 см ( S = 257 м2*0,7*0,5=89,95м2</v>
      </c>
      <c r="D809" s="32" t="str">
        <f>[1]Source!H686</f>
        <v>100 м2</v>
      </c>
      <c r="E809" s="4">
        <f>[1]Source!I686</f>
        <v>0.89949999999999997</v>
      </c>
      <c r="F809" s="33"/>
      <c r="G809" s="34"/>
      <c r="H809" s="4"/>
      <c r="I809" s="4"/>
      <c r="J809" s="33"/>
      <c r="K809" s="33"/>
      <c r="M809"/>
      <c r="N809"/>
      <c r="O809"/>
      <c r="P809"/>
      <c r="Q809"/>
      <c r="AB809">
        <f>ROUND(([1]Source!BZ686/100)*ROUND(([1]Source!AF686*[1]Source!AV686)*[1]Source!I686, 2), 2)</f>
        <v>68186.559999999998</v>
      </c>
      <c r="AC809">
        <f>[1]Source!X686</f>
        <v>68186.559999999998</v>
      </c>
      <c r="AD809">
        <f>ROUND(([1]Source!CA686/100)*ROUND(([1]Source!AF686*[1]Source!AV686)*[1]Source!I686, 2), 2)</f>
        <v>9740.94</v>
      </c>
      <c r="AE809">
        <f>[1]Source!Y686</f>
        <v>9740.94</v>
      </c>
      <c r="AF809">
        <f>ROUND((175/100)*ROUND(([1]Source!AE686*[1]Source!AV686)*[1]Source!I686, 2), 2)</f>
        <v>0</v>
      </c>
      <c r="AG809">
        <f>ROUND((108/100)*ROUND([1]Source!CS686*[1]Source!I686, 2), 2)</f>
        <v>0</v>
      </c>
    </row>
    <row r="810" spans="1:42" x14ac:dyDescent="0.2">
      <c r="C810" s="40" t="str">
        <f>"Объем: "&amp;[1]Source!I686&amp;"=89,95/"&amp;"100"</f>
        <v>Объем: 0,8995=89,95/100</v>
      </c>
      <c r="M810"/>
      <c r="N810"/>
      <c r="O810"/>
      <c r="P810"/>
      <c r="Q810"/>
    </row>
    <row r="811" spans="1:42" ht="14.25" x14ac:dyDescent="0.2">
      <c r="A811" s="31"/>
      <c r="B811" s="31"/>
      <c r="C811" s="31" t="s">
        <v>34</v>
      </c>
      <c r="D811" s="32"/>
      <c r="E811" s="4"/>
      <c r="F811" s="33">
        <f>[1]Source!AO686</f>
        <v>161.15</v>
      </c>
      <c r="G811" s="34" t="str">
        <f>[1]Source!DG686</f>
        <v>)*4*168</v>
      </c>
      <c r="H811" s="4">
        <f>[1]Source!AV686</f>
        <v>1</v>
      </c>
      <c r="I811" s="4">
        <f>IF([1]Source!BA686&lt;&gt; 0, [1]Source!BA686, 1)</f>
        <v>1</v>
      </c>
      <c r="J811" s="33">
        <f>[1]Source!S686</f>
        <v>97409.37</v>
      </c>
      <c r="K811" s="33"/>
      <c r="M811"/>
      <c r="N811"/>
      <c r="O811"/>
      <c r="P811"/>
      <c r="Q811"/>
    </row>
    <row r="812" spans="1:42" ht="14.25" x14ac:dyDescent="0.2">
      <c r="A812" s="31"/>
      <c r="B812" s="31"/>
      <c r="C812" s="31" t="s">
        <v>40</v>
      </c>
      <c r="D812" s="32" t="s">
        <v>39</v>
      </c>
      <c r="E812" s="4">
        <f>[1]Source!AT686</f>
        <v>70</v>
      </c>
      <c r="F812" s="33"/>
      <c r="G812" s="34"/>
      <c r="H812" s="4"/>
      <c r="I812" s="4"/>
      <c r="J812" s="33">
        <f>SUM(AC809:AC811)</f>
        <v>68186.559999999998</v>
      </c>
      <c r="K812" s="33"/>
      <c r="M812"/>
      <c r="N812"/>
      <c r="O812"/>
      <c r="P812"/>
      <c r="Q812"/>
    </row>
    <row r="813" spans="1:42" ht="14.25" x14ac:dyDescent="0.2">
      <c r="A813" s="31"/>
      <c r="B813" s="31"/>
      <c r="C813" s="31" t="s">
        <v>41</v>
      </c>
      <c r="D813" s="32" t="s">
        <v>39</v>
      </c>
      <c r="E813" s="4">
        <f>[1]Source!AU686</f>
        <v>10</v>
      </c>
      <c r="F813" s="33"/>
      <c r="G813" s="34"/>
      <c r="H813" s="4"/>
      <c r="I813" s="4"/>
      <c r="J813" s="33">
        <f>SUM(AE809:AE812)</f>
        <v>9740.94</v>
      </c>
      <c r="K813" s="33"/>
      <c r="M813"/>
      <c r="N813"/>
      <c r="O813"/>
      <c r="P813"/>
      <c r="Q813"/>
    </row>
    <row r="814" spans="1:42" ht="14.25" x14ac:dyDescent="0.2">
      <c r="A814" s="31"/>
      <c r="B814" s="31"/>
      <c r="C814" s="31" t="s">
        <v>42</v>
      </c>
      <c r="D814" s="32" t="s">
        <v>43</v>
      </c>
      <c r="E814" s="4">
        <f>[1]Source!AQ686</f>
        <v>0.65</v>
      </c>
      <c r="F814" s="33"/>
      <c r="G814" s="34" t="str">
        <f>[1]Source!DI686</f>
        <v>)*4*168</v>
      </c>
      <c r="H814" s="4">
        <f>[1]Source!AV686</f>
        <v>1</v>
      </c>
      <c r="I814" s="4"/>
      <c r="J814" s="33"/>
      <c r="K814" s="33">
        <f>[1]Source!U686</f>
        <v>392.90159999999997</v>
      </c>
      <c r="M814"/>
      <c r="N814"/>
      <c r="O814"/>
      <c r="P814"/>
      <c r="Q814"/>
    </row>
    <row r="815" spans="1:42" ht="15" x14ac:dyDescent="0.25">
      <c r="A815" s="35"/>
      <c r="B815" s="35"/>
      <c r="C815" s="35"/>
      <c r="D815" s="35"/>
      <c r="E815" s="35"/>
      <c r="F815" s="35"/>
      <c r="G815" s="35"/>
      <c r="H815" s="35"/>
      <c r="I815" s="36">
        <f>J811+J812+J813</f>
        <v>175336.87</v>
      </c>
      <c r="J815" s="36"/>
      <c r="K815" s="37">
        <f>IF([1]Source!I686&lt;&gt;0, ROUND(I815/[1]Source!I686, 2), 0)</f>
        <v>194927.04</v>
      </c>
      <c r="M815"/>
      <c r="N815"/>
      <c r="O815"/>
      <c r="P815"/>
      <c r="Q815"/>
      <c r="AA815" s="38">
        <f>I815</f>
        <v>175336.87</v>
      </c>
    </row>
    <row r="816" spans="1:42" ht="28.5" x14ac:dyDescent="0.2">
      <c r="A816" s="31">
        <v>116</v>
      </c>
      <c r="B816" s="31" t="str">
        <f>[1]Source!F687</f>
        <v>5.3-1102-8-3/1</v>
      </c>
      <c r="C816" s="31" t="str">
        <f>[1]Source!G687</f>
        <v>Уборка слежавшегося снега вручную( S=257м2**0,7*0,5=89,95м2 )</v>
      </c>
      <c r="D816" s="32" t="str">
        <f>[1]Source!H687</f>
        <v>100 м2</v>
      </c>
      <c r="E816" s="4">
        <f>[1]Source!I687</f>
        <v>0.89949999999999997</v>
      </c>
      <c r="F816" s="33"/>
      <c r="G816" s="34"/>
      <c r="H816" s="4"/>
      <c r="I816" s="4"/>
      <c r="J816" s="33"/>
      <c r="K816" s="33"/>
      <c r="M816"/>
      <c r="N816"/>
      <c r="O816"/>
      <c r="P816"/>
      <c r="Q816"/>
      <c r="AB816">
        <f>ROUND(([1]Source!BZ687/100)*ROUND(([1]Source!AF687*[1]Source!AV687)*[1]Source!I687, 2), 2)</f>
        <v>40125.980000000003</v>
      </c>
      <c r="AC816">
        <f>[1]Source!X687</f>
        <v>40125.980000000003</v>
      </c>
      <c r="AD816">
        <f>ROUND(([1]Source!CA687/100)*ROUND(([1]Source!AF687*[1]Source!AV687)*[1]Source!I687, 2), 2)</f>
        <v>5732.28</v>
      </c>
      <c r="AE816">
        <f>[1]Source!Y687</f>
        <v>5732.28</v>
      </c>
      <c r="AF816">
        <f>ROUND((175/100)*ROUND(([1]Source!AE687*[1]Source!AV687)*[1]Source!I687, 2), 2)</f>
        <v>0</v>
      </c>
      <c r="AG816">
        <f>ROUND((108/100)*ROUND([1]Source!CS687*[1]Source!I687, 2), 2)</f>
        <v>0</v>
      </c>
    </row>
    <row r="817" spans="1:33" x14ac:dyDescent="0.2">
      <c r="C817" s="40" t="str">
        <f>"Объем: "&amp;[1]Source!I687&amp;"=89,95/"&amp;"100"</f>
        <v>Объем: 0,8995=89,95/100</v>
      </c>
      <c r="M817"/>
      <c r="N817"/>
      <c r="O817"/>
      <c r="P817"/>
      <c r="Q817"/>
    </row>
    <row r="818" spans="1:33" ht="14.25" x14ac:dyDescent="0.2">
      <c r="A818" s="31"/>
      <c r="B818" s="31"/>
      <c r="C818" s="31" t="s">
        <v>34</v>
      </c>
      <c r="D818" s="32"/>
      <c r="E818" s="4"/>
      <c r="F818" s="33">
        <f>[1]Source!AO687</f>
        <v>379.33</v>
      </c>
      <c r="G818" s="34" t="str">
        <f>[1]Source!DG687</f>
        <v>)*1*168</v>
      </c>
      <c r="H818" s="4">
        <f>[1]Source!AV687</f>
        <v>1</v>
      </c>
      <c r="I818" s="4">
        <f>IF([1]Source!BA687&lt;&gt; 0, [1]Source!BA687, 1)</f>
        <v>1</v>
      </c>
      <c r="J818" s="33">
        <f>[1]Source!S687</f>
        <v>57322.83</v>
      </c>
      <c r="K818" s="33"/>
      <c r="M818"/>
      <c r="N818"/>
      <c r="O818"/>
      <c r="P818"/>
      <c r="Q818"/>
    </row>
    <row r="819" spans="1:33" ht="14.25" x14ac:dyDescent="0.2">
      <c r="A819" s="31"/>
      <c r="B819" s="31"/>
      <c r="C819" s="31" t="s">
        <v>40</v>
      </c>
      <c r="D819" s="32" t="s">
        <v>39</v>
      </c>
      <c r="E819" s="4">
        <f>[1]Source!AT687</f>
        <v>70</v>
      </c>
      <c r="F819" s="33"/>
      <c r="G819" s="34"/>
      <c r="H819" s="4"/>
      <c r="I819" s="4"/>
      <c r="J819" s="33">
        <f>SUM(AC816:AC818)</f>
        <v>40125.980000000003</v>
      </c>
      <c r="K819" s="33"/>
      <c r="M819"/>
      <c r="N819"/>
      <c r="O819"/>
      <c r="P819"/>
      <c r="Q819"/>
    </row>
    <row r="820" spans="1:33" ht="14.25" x14ac:dyDescent="0.2">
      <c r="A820" s="31"/>
      <c r="B820" s="31"/>
      <c r="C820" s="31" t="s">
        <v>41</v>
      </c>
      <c r="D820" s="32" t="s">
        <v>39</v>
      </c>
      <c r="E820" s="4">
        <f>[1]Source!AU687</f>
        <v>10</v>
      </c>
      <c r="F820" s="33"/>
      <c r="G820" s="34"/>
      <c r="H820" s="4"/>
      <c r="I820" s="4"/>
      <c r="J820" s="33">
        <f>SUM(AE816:AE819)</f>
        <v>5732.28</v>
      </c>
      <c r="K820" s="33"/>
      <c r="M820"/>
      <c r="N820"/>
      <c r="O820"/>
      <c r="P820"/>
      <c r="Q820"/>
    </row>
    <row r="821" spans="1:33" ht="14.25" x14ac:dyDescent="0.2">
      <c r="A821" s="31"/>
      <c r="B821" s="31"/>
      <c r="C821" s="31" t="s">
        <v>42</v>
      </c>
      <c r="D821" s="32" t="s">
        <v>43</v>
      </c>
      <c r="E821" s="4">
        <f>[1]Source!AQ687</f>
        <v>1.53</v>
      </c>
      <c r="F821" s="33"/>
      <c r="G821" s="34" t="str">
        <f>[1]Source!DI687</f>
        <v>)*1*168</v>
      </c>
      <c r="H821" s="4">
        <f>[1]Source!AV687</f>
        <v>1</v>
      </c>
      <c r="I821" s="4"/>
      <c r="J821" s="33"/>
      <c r="K821" s="33">
        <f>[1]Source!U687</f>
        <v>231.20748</v>
      </c>
      <c r="M821"/>
      <c r="N821"/>
      <c r="O821"/>
      <c r="P821"/>
      <c r="Q821"/>
    </row>
    <row r="822" spans="1:33" ht="15" x14ac:dyDescent="0.25">
      <c r="A822" s="35"/>
      <c r="B822" s="35"/>
      <c r="C822" s="35"/>
      <c r="D822" s="35"/>
      <c r="E822" s="35"/>
      <c r="F822" s="35"/>
      <c r="G822" s="35"/>
      <c r="H822" s="35"/>
      <c r="I822" s="36">
        <f>J818+J819+J820</f>
        <v>103181.09</v>
      </c>
      <c r="J822" s="36"/>
      <c r="K822" s="37">
        <f>IF([1]Source!I687&lt;&gt;0, ROUND(I822/[1]Source!I687, 2), 0)</f>
        <v>114709.38</v>
      </c>
      <c r="M822"/>
      <c r="N822"/>
      <c r="O822"/>
      <c r="P822"/>
      <c r="Q822"/>
      <c r="AA822" s="38">
        <f>I822</f>
        <v>103181.09</v>
      </c>
    </row>
    <row r="823" spans="1:33" ht="42.75" x14ac:dyDescent="0.2">
      <c r="A823" s="31">
        <v>117</v>
      </c>
      <c r="B823" s="31" t="str">
        <f>[1]Source!F688</f>
        <v>5.3-1102-8-1/1</v>
      </c>
      <c r="C823" s="31" t="str">
        <f>[1]Source!G688</f>
        <v>Уборка свежевыпавшего снега вручную толщиной слоя до 10 см ( S = 257м2* *0,3*0,5 = 38,55 м2)</v>
      </c>
      <c r="D823" s="32" t="str">
        <f>[1]Source!H688</f>
        <v>100 м2</v>
      </c>
      <c r="E823" s="4">
        <f>[1]Source!I688</f>
        <v>0.38550000000000001</v>
      </c>
      <c r="F823" s="33"/>
      <c r="G823" s="34"/>
      <c r="H823" s="4"/>
      <c r="I823" s="4"/>
      <c r="J823" s="33"/>
      <c r="K823" s="33"/>
      <c r="M823"/>
      <c r="N823"/>
      <c r="O823"/>
      <c r="P823"/>
      <c r="Q823"/>
      <c r="AB823">
        <f>ROUND(([1]Source!BZ688/100)*ROUND(([1]Source!AF688*[1]Source!AV688)*[1]Source!I688, 2), 2)</f>
        <v>29222.81</v>
      </c>
      <c r="AC823">
        <f>[1]Source!X688</f>
        <v>29222.81</v>
      </c>
      <c r="AD823">
        <f>ROUND(([1]Source!CA688/100)*ROUND(([1]Source!AF688*[1]Source!AV688)*[1]Source!I688, 2), 2)</f>
        <v>4174.6899999999996</v>
      </c>
      <c r="AE823">
        <f>[1]Source!Y688</f>
        <v>4174.6899999999996</v>
      </c>
      <c r="AF823">
        <f>ROUND((175/100)*ROUND(([1]Source!AE688*[1]Source!AV688)*[1]Source!I688, 2), 2)</f>
        <v>0</v>
      </c>
      <c r="AG823">
        <f>ROUND((108/100)*ROUND([1]Source!CS688*[1]Source!I688, 2), 2)</f>
        <v>0</v>
      </c>
    </row>
    <row r="824" spans="1:33" x14ac:dyDescent="0.2">
      <c r="C824" s="40" t="str">
        <f>"Объем: "&amp;[1]Source!I688&amp;"=38,55/"&amp;"100"</f>
        <v>Объем: 0,3855=38,55/100</v>
      </c>
      <c r="M824"/>
      <c r="N824"/>
      <c r="O824"/>
      <c r="P824"/>
      <c r="Q824"/>
    </row>
    <row r="825" spans="1:33" ht="14.25" x14ac:dyDescent="0.2">
      <c r="A825" s="31"/>
      <c r="B825" s="31"/>
      <c r="C825" s="31" t="s">
        <v>34</v>
      </c>
      <c r="D825" s="32"/>
      <c r="E825" s="4"/>
      <c r="F825" s="33">
        <f>[1]Source!AO688</f>
        <v>161.15</v>
      </c>
      <c r="G825" s="34" t="str">
        <f>[1]Source!DG688</f>
        <v>*4*168</v>
      </c>
      <c r="H825" s="4">
        <f>[1]Source!AV688</f>
        <v>1</v>
      </c>
      <c r="I825" s="4">
        <f>IF([1]Source!BA688&lt;&gt; 0, [1]Source!BA688, 1)</f>
        <v>1</v>
      </c>
      <c r="J825" s="33">
        <f>[1]Source!S688</f>
        <v>41746.870000000003</v>
      </c>
      <c r="K825" s="33"/>
      <c r="M825"/>
      <c r="N825"/>
      <c r="O825"/>
      <c r="P825"/>
      <c r="Q825"/>
    </row>
    <row r="826" spans="1:33" ht="14.25" x14ac:dyDescent="0.2">
      <c r="A826" s="31"/>
      <c r="B826" s="31"/>
      <c r="C826" s="31" t="s">
        <v>40</v>
      </c>
      <c r="D826" s="32" t="s">
        <v>39</v>
      </c>
      <c r="E826" s="4">
        <f>[1]Source!AT688</f>
        <v>70</v>
      </c>
      <c r="F826" s="33"/>
      <c r="G826" s="34"/>
      <c r="H826" s="4"/>
      <c r="I826" s="4"/>
      <c r="J826" s="33">
        <f>SUM(AC823:AC825)</f>
        <v>29222.81</v>
      </c>
      <c r="K826" s="33"/>
      <c r="M826"/>
      <c r="N826"/>
      <c r="O826"/>
      <c r="P826"/>
      <c r="Q826"/>
    </row>
    <row r="827" spans="1:33" ht="14.25" x14ac:dyDescent="0.2">
      <c r="A827" s="31"/>
      <c r="B827" s="31"/>
      <c r="C827" s="31" t="s">
        <v>41</v>
      </c>
      <c r="D827" s="32" t="s">
        <v>39</v>
      </c>
      <c r="E827" s="4">
        <f>[1]Source!AU688</f>
        <v>10</v>
      </c>
      <c r="F827" s="33"/>
      <c r="G827" s="34"/>
      <c r="H827" s="4"/>
      <c r="I827" s="4"/>
      <c r="J827" s="33">
        <f>SUM(AE823:AE826)</f>
        <v>4174.6899999999996</v>
      </c>
      <c r="K827" s="33"/>
      <c r="M827"/>
      <c r="N827"/>
      <c r="O827"/>
      <c r="P827"/>
      <c r="Q827"/>
    </row>
    <row r="828" spans="1:33" ht="14.25" x14ac:dyDescent="0.2">
      <c r="A828" s="31"/>
      <c r="B828" s="31"/>
      <c r="C828" s="31" t="s">
        <v>42</v>
      </c>
      <c r="D828" s="32" t="s">
        <v>43</v>
      </c>
      <c r="E828" s="4">
        <f>[1]Source!AQ688</f>
        <v>0.65</v>
      </c>
      <c r="F828" s="33"/>
      <c r="G828" s="34" t="str">
        <f>[1]Source!DI688</f>
        <v>*4*168</v>
      </c>
      <c r="H828" s="4">
        <f>[1]Source!AV688</f>
        <v>1</v>
      </c>
      <c r="I828" s="4"/>
      <c r="J828" s="33"/>
      <c r="K828" s="33">
        <f>[1]Source!U688</f>
        <v>168.38640000000001</v>
      </c>
      <c r="M828"/>
      <c r="N828"/>
      <c r="O828"/>
      <c r="P828"/>
      <c r="Q828"/>
    </row>
    <row r="829" spans="1:33" ht="15" x14ac:dyDescent="0.25">
      <c r="A829" s="35"/>
      <c r="B829" s="35"/>
      <c r="C829" s="35"/>
      <c r="D829" s="35"/>
      <c r="E829" s="35"/>
      <c r="F829" s="35"/>
      <c r="G829" s="35"/>
      <c r="H829" s="35"/>
      <c r="I829" s="36">
        <f>J825+J826+J827</f>
        <v>75144.37000000001</v>
      </c>
      <c r="J829" s="36"/>
      <c r="K829" s="37">
        <f>IF([1]Source!I688&lt;&gt;0, ROUND(I829/[1]Source!I688, 2), 0)</f>
        <v>194927.03</v>
      </c>
      <c r="M829"/>
      <c r="N829"/>
      <c r="O829"/>
      <c r="P829"/>
      <c r="Q829"/>
      <c r="AA829" s="38">
        <f>I829</f>
        <v>75144.37000000001</v>
      </c>
    </row>
    <row r="830" spans="1:33" ht="57" x14ac:dyDescent="0.2">
      <c r="A830" s="31">
        <v>118</v>
      </c>
      <c r="B830" s="31" t="str">
        <f>[1]Source!F689</f>
        <v>5.3-1102-8-2/1</v>
      </c>
      <c r="C830" s="31" t="str">
        <f>[1]Source!G689</f>
        <v>Уборка свежевыпавшего снега вручную, добавлять на каждые следующие 10 см увеличения толщины слоя</v>
      </c>
      <c r="D830" s="32" t="str">
        <f>[1]Source!H689</f>
        <v>100 м2</v>
      </c>
      <c r="E830" s="4">
        <f>[1]Source!I689</f>
        <v>0.38550000000000001</v>
      </c>
      <c r="F830" s="33"/>
      <c r="G830" s="34"/>
      <c r="H830" s="4"/>
      <c r="I830" s="4"/>
      <c r="J830" s="33"/>
      <c r="K830" s="33"/>
      <c r="M830"/>
      <c r="N830"/>
      <c r="O830"/>
      <c r="P830"/>
      <c r="Q830"/>
      <c r="AB830">
        <f>ROUND(([1]Source!BZ689/100)*ROUND(([1]Source!AF689*[1]Source!AV689)*[1]Source!I689, 2), 2)</f>
        <v>21131.46</v>
      </c>
      <c r="AC830">
        <f>[1]Source!X689</f>
        <v>21131.46</v>
      </c>
      <c r="AD830">
        <f>ROUND(([1]Source!CA689/100)*ROUND(([1]Source!AF689*[1]Source!AV689)*[1]Source!I689, 2), 2)</f>
        <v>3018.78</v>
      </c>
      <c r="AE830">
        <f>[1]Source!Y689</f>
        <v>3018.78</v>
      </c>
      <c r="AF830">
        <f>ROUND((175/100)*ROUND(([1]Source!AE689*[1]Source!AV689)*[1]Source!I689, 2), 2)</f>
        <v>0</v>
      </c>
      <c r="AG830">
        <f>ROUND((108/100)*ROUND([1]Source!CS689*[1]Source!I689, 2), 2)</f>
        <v>0</v>
      </c>
    </row>
    <row r="831" spans="1:33" x14ac:dyDescent="0.2">
      <c r="C831" s="40" t="str">
        <f>"Объем: "&amp;[1]Source!I689&amp;"=38,55/"&amp;"100"</f>
        <v>Объем: 0,3855=38,55/100</v>
      </c>
      <c r="M831"/>
      <c r="N831"/>
      <c r="O831"/>
      <c r="P831"/>
      <c r="Q831"/>
    </row>
    <row r="832" spans="1:33" ht="14.25" x14ac:dyDescent="0.2">
      <c r="A832" s="31"/>
      <c r="B832" s="31"/>
      <c r="C832" s="31" t="s">
        <v>34</v>
      </c>
      <c r="D832" s="32"/>
      <c r="E832" s="4"/>
      <c r="F832" s="33">
        <f>[1]Source!AO689</f>
        <v>116.53</v>
      </c>
      <c r="G832" s="34" t="str">
        <f>[1]Source!DG689</f>
        <v>*4*168</v>
      </c>
      <c r="H832" s="4">
        <f>[1]Source!AV689</f>
        <v>1</v>
      </c>
      <c r="I832" s="4">
        <f>IF([1]Source!BA689&lt;&gt; 0, [1]Source!BA689, 1)</f>
        <v>1</v>
      </c>
      <c r="J832" s="33">
        <f>[1]Source!S689</f>
        <v>30187.8</v>
      </c>
      <c r="K832" s="33"/>
      <c r="M832"/>
      <c r="N832"/>
      <c r="O832"/>
      <c r="P832"/>
      <c r="Q832"/>
    </row>
    <row r="833" spans="1:33" ht="14.25" x14ac:dyDescent="0.2">
      <c r="A833" s="31"/>
      <c r="B833" s="31"/>
      <c r="C833" s="31" t="s">
        <v>40</v>
      </c>
      <c r="D833" s="32" t="s">
        <v>39</v>
      </c>
      <c r="E833" s="4">
        <f>[1]Source!AT689</f>
        <v>70</v>
      </c>
      <c r="F833" s="33"/>
      <c r="G833" s="34"/>
      <c r="H833" s="4"/>
      <c r="I833" s="4"/>
      <c r="J833" s="33">
        <f>SUM(AC830:AC832)</f>
        <v>21131.46</v>
      </c>
      <c r="K833" s="33"/>
      <c r="M833"/>
      <c r="N833"/>
      <c r="O833"/>
      <c r="P833"/>
      <c r="Q833"/>
    </row>
    <row r="834" spans="1:33" ht="14.25" x14ac:dyDescent="0.2">
      <c r="A834" s="31"/>
      <c r="B834" s="31"/>
      <c r="C834" s="31" t="s">
        <v>41</v>
      </c>
      <c r="D834" s="32" t="s">
        <v>39</v>
      </c>
      <c r="E834" s="4">
        <f>[1]Source!AU689</f>
        <v>10</v>
      </c>
      <c r="F834" s="33"/>
      <c r="G834" s="34"/>
      <c r="H834" s="4"/>
      <c r="I834" s="4"/>
      <c r="J834" s="33">
        <f>SUM(AE830:AE833)</f>
        <v>3018.78</v>
      </c>
      <c r="K834" s="33"/>
      <c r="M834"/>
      <c r="N834"/>
      <c r="O834"/>
      <c r="P834"/>
      <c r="Q834"/>
    </row>
    <row r="835" spans="1:33" ht="14.25" x14ac:dyDescent="0.2">
      <c r="A835" s="31"/>
      <c r="B835" s="31"/>
      <c r="C835" s="31" t="s">
        <v>42</v>
      </c>
      <c r="D835" s="32" t="s">
        <v>43</v>
      </c>
      <c r="E835" s="4">
        <f>[1]Source!AQ689</f>
        <v>0.47</v>
      </c>
      <c r="F835" s="33"/>
      <c r="G835" s="34" t="str">
        <f>[1]Source!DI689</f>
        <v>*4*168</v>
      </c>
      <c r="H835" s="4">
        <f>[1]Source!AV689</f>
        <v>1</v>
      </c>
      <c r="I835" s="4"/>
      <c r="J835" s="33"/>
      <c r="K835" s="33">
        <f>[1]Source!U689</f>
        <v>121.75631999999999</v>
      </c>
      <c r="M835"/>
      <c r="N835"/>
      <c r="O835"/>
      <c r="P835"/>
      <c r="Q835"/>
    </row>
    <row r="836" spans="1:33" ht="15" x14ac:dyDescent="0.25">
      <c r="A836" s="35"/>
      <c r="B836" s="35"/>
      <c r="C836" s="35"/>
      <c r="D836" s="35"/>
      <c r="E836" s="35"/>
      <c r="F836" s="35"/>
      <c r="G836" s="35"/>
      <c r="H836" s="35"/>
      <c r="I836" s="36">
        <f>J832+J833+J834</f>
        <v>54338.039999999994</v>
      </c>
      <c r="J836" s="36"/>
      <c r="K836" s="37">
        <f>IF([1]Source!I689&lt;&gt;0, ROUND(I836/[1]Source!I689, 2), 0)</f>
        <v>140954.71</v>
      </c>
      <c r="M836"/>
      <c r="N836"/>
      <c r="O836"/>
      <c r="P836"/>
      <c r="Q836"/>
      <c r="AA836" s="38">
        <f>I836</f>
        <v>54338.039999999994</v>
      </c>
    </row>
    <row r="837" spans="1:33" ht="42.75" x14ac:dyDescent="0.2">
      <c r="A837" s="31">
        <v>119</v>
      </c>
      <c r="B837" s="31" t="str">
        <f>[1]Source!F690</f>
        <v>5.3-1102-9-1/1</v>
      </c>
      <c r="C837" s="31" t="str">
        <f>[1]Source!G690</f>
        <v>Колка льда на обледеневших покрытиях вручную ( S=257 м2*0,3*0,5= 38,55 м2)</v>
      </c>
      <c r="D837" s="32" t="str">
        <f>[1]Source!H690</f>
        <v>100 м2</v>
      </c>
      <c r="E837" s="4">
        <f>[1]Source!I690</f>
        <v>0.38550000000000001</v>
      </c>
      <c r="F837" s="33"/>
      <c r="G837" s="34"/>
      <c r="H837" s="4"/>
      <c r="I837" s="4"/>
      <c r="J837" s="33"/>
      <c r="K837" s="33"/>
      <c r="M837"/>
      <c r="N837"/>
      <c r="O837"/>
      <c r="P837"/>
      <c r="Q837"/>
      <c r="AB837">
        <f>ROUND(([1]Source!BZ690/100)*ROUND(([1]Source!AF690*[1]Source!AV690)*[1]Source!I690, 2), 2)</f>
        <v>54176</v>
      </c>
      <c r="AC837">
        <f>[1]Source!X690</f>
        <v>54176</v>
      </c>
      <c r="AD837">
        <f>ROUND(([1]Source!CA690/100)*ROUND(([1]Source!AF690*[1]Source!AV690)*[1]Source!I690, 2), 2)</f>
        <v>7739.43</v>
      </c>
      <c r="AE837">
        <f>[1]Source!Y690</f>
        <v>7739.43</v>
      </c>
      <c r="AF837">
        <f>ROUND((175/100)*ROUND(([1]Source!AE690*[1]Source!AV690)*[1]Source!I690, 2), 2)</f>
        <v>0</v>
      </c>
      <c r="AG837">
        <f>ROUND((108/100)*ROUND([1]Source!CS690*[1]Source!I690, 2), 2)</f>
        <v>0</v>
      </c>
    </row>
    <row r="838" spans="1:33" x14ac:dyDescent="0.2">
      <c r="C838" s="40" t="str">
        <f>"Объем: "&amp;[1]Source!I690&amp;"=38,55/"&amp;"100"</f>
        <v>Объем: 0,3855=38,55/100</v>
      </c>
      <c r="M838"/>
      <c r="N838"/>
      <c r="O838"/>
      <c r="P838"/>
      <c r="Q838"/>
    </row>
    <row r="839" spans="1:33" ht="14.25" x14ac:dyDescent="0.2">
      <c r="A839" s="31"/>
      <c r="B839" s="31"/>
      <c r="C839" s="31" t="s">
        <v>34</v>
      </c>
      <c r="D839" s="32"/>
      <c r="E839" s="4"/>
      <c r="F839" s="33">
        <f>[1]Source!AO690</f>
        <v>597.51</v>
      </c>
      <c r="G839" s="34" t="str">
        <f>[1]Source!DG690</f>
        <v>*2*168</v>
      </c>
      <c r="H839" s="4">
        <f>[1]Source!AV690</f>
        <v>1</v>
      </c>
      <c r="I839" s="4">
        <f>IF([1]Source!BA690&lt;&gt; 0, [1]Source!BA690, 1)</f>
        <v>1</v>
      </c>
      <c r="J839" s="33">
        <f>[1]Source!S690</f>
        <v>77394.28</v>
      </c>
      <c r="K839" s="33"/>
      <c r="M839"/>
      <c r="N839"/>
      <c r="O839"/>
      <c r="P839"/>
      <c r="Q839"/>
    </row>
    <row r="840" spans="1:33" ht="14.25" x14ac:dyDescent="0.2">
      <c r="A840" s="31"/>
      <c r="B840" s="31"/>
      <c r="C840" s="31" t="s">
        <v>40</v>
      </c>
      <c r="D840" s="32" t="s">
        <v>39</v>
      </c>
      <c r="E840" s="4">
        <f>[1]Source!AT690</f>
        <v>70</v>
      </c>
      <c r="F840" s="33"/>
      <c r="G840" s="34"/>
      <c r="H840" s="4"/>
      <c r="I840" s="4"/>
      <c r="J840" s="33">
        <f>SUM(AC837:AC839)</f>
        <v>54176</v>
      </c>
      <c r="K840" s="33"/>
      <c r="M840"/>
      <c r="N840"/>
      <c r="O840"/>
      <c r="P840"/>
      <c r="Q840"/>
    </row>
    <row r="841" spans="1:33" ht="14.25" x14ac:dyDescent="0.2">
      <c r="A841" s="31"/>
      <c r="B841" s="31"/>
      <c r="C841" s="31" t="s">
        <v>41</v>
      </c>
      <c r="D841" s="32" t="s">
        <v>39</v>
      </c>
      <c r="E841" s="4">
        <f>[1]Source!AU690</f>
        <v>10</v>
      </c>
      <c r="F841" s="33"/>
      <c r="G841" s="34"/>
      <c r="H841" s="4"/>
      <c r="I841" s="4"/>
      <c r="J841" s="33">
        <f>SUM(AE837:AE840)</f>
        <v>7739.43</v>
      </c>
      <c r="K841" s="33"/>
      <c r="M841"/>
      <c r="N841"/>
      <c r="O841"/>
      <c r="P841"/>
      <c r="Q841"/>
    </row>
    <row r="842" spans="1:33" ht="14.25" x14ac:dyDescent="0.2">
      <c r="A842" s="31"/>
      <c r="B842" s="31"/>
      <c r="C842" s="31" t="s">
        <v>42</v>
      </c>
      <c r="D842" s="32" t="s">
        <v>43</v>
      </c>
      <c r="E842" s="4">
        <f>[1]Source!AQ690</f>
        <v>2.41</v>
      </c>
      <c r="F842" s="33"/>
      <c r="G842" s="34" t="str">
        <f>[1]Source!DI690</f>
        <v>*2*168</v>
      </c>
      <c r="H842" s="4">
        <f>[1]Source!AV690</f>
        <v>1</v>
      </c>
      <c r="I842" s="4"/>
      <c r="J842" s="33"/>
      <c r="K842" s="33">
        <f>[1]Source!U690</f>
        <v>312.16248000000002</v>
      </c>
      <c r="M842"/>
      <c r="N842"/>
      <c r="O842"/>
      <c r="P842"/>
      <c r="Q842"/>
    </row>
    <row r="843" spans="1:33" ht="15" x14ac:dyDescent="0.25">
      <c r="A843" s="35"/>
      <c r="B843" s="35"/>
      <c r="C843" s="35"/>
      <c r="D843" s="35"/>
      <c r="E843" s="35"/>
      <c r="F843" s="35"/>
      <c r="G843" s="35"/>
      <c r="H843" s="35"/>
      <c r="I843" s="36">
        <f>J839+J840+J841</f>
        <v>139309.71</v>
      </c>
      <c r="J843" s="36"/>
      <c r="K843" s="37">
        <f>IF([1]Source!I690&lt;&gt;0, ROUND(I843/[1]Source!I690, 2), 0)</f>
        <v>361374.09</v>
      </c>
      <c r="M843"/>
      <c r="N843"/>
      <c r="O843"/>
      <c r="P843"/>
      <c r="Q843"/>
      <c r="AA843" s="38">
        <f>I843</f>
        <v>139309.71</v>
      </c>
    </row>
    <row r="844" spans="1:33" ht="28.5" x14ac:dyDescent="0.2">
      <c r="A844" s="31">
        <v>120</v>
      </c>
      <c r="B844" s="31" t="str">
        <f>[1]Source!F691</f>
        <v>калькуляция</v>
      </c>
      <c r="C844" s="31" t="str">
        <f>[1]Source!G691</f>
        <v>Посыпка  гранитной крошкой дорожных покрытий вручную( 100г/м2 )</v>
      </c>
      <c r="D844" s="32" t="str">
        <f>[1]Source!H691</f>
        <v>м2</v>
      </c>
      <c r="E844" s="4">
        <f>[1]Source!I691</f>
        <v>257</v>
      </c>
      <c r="F844" s="33"/>
      <c r="G844" s="34"/>
      <c r="H844" s="4"/>
      <c r="I844" s="4"/>
      <c r="J844" s="33"/>
      <c r="K844" s="33"/>
      <c r="M844"/>
      <c r="N844"/>
      <c r="O844"/>
      <c r="P844"/>
      <c r="Q844"/>
      <c r="AB844">
        <f>ROUND(([1]Source!BZ691/100)*ROUND(([1]Source!AF691*[1]Source!AV691)*[1]Source!I691, 2), 2)</f>
        <v>0</v>
      </c>
      <c r="AC844">
        <f>[1]Source!X691</f>
        <v>0</v>
      </c>
      <c r="AD844">
        <f>ROUND(([1]Source!CA691/100)*ROUND(([1]Source!AF691*[1]Source!AV691)*[1]Source!I691, 2), 2)</f>
        <v>0</v>
      </c>
      <c r="AE844">
        <f>[1]Source!Y691</f>
        <v>0</v>
      </c>
      <c r="AF844">
        <f>ROUND((175/100)*ROUND(([1]Source!AE691*[1]Source!AV691)*[1]Source!I691, 2), 2)</f>
        <v>0</v>
      </c>
      <c r="AG844">
        <f>ROUND((108/100)*ROUND([1]Source!CS691*[1]Source!I691, 2), 2)</f>
        <v>0</v>
      </c>
    </row>
    <row r="845" spans="1:33" ht="14.25" x14ac:dyDescent="0.2">
      <c r="A845" s="31"/>
      <c r="B845" s="31"/>
      <c r="C845" s="31" t="s">
        <v>34</v>
      </c>
      <c r="D845" s="32"/>
      <c r="E845" s="4"/>
      <c r="F845" s="33">
        <f>[1]Source!AO691</f>
        <v>2.08</v>
      </c>
      <c r="G845" s="34" t="str">
        <f>[1]Source!DG691</f>
        <v>)*4*168</v>
      </c>
      <c r="H845" s="4">
        <f>[1]Source!AV691</f>
        <v>1</v>
      </c>
      <c r="I845" s="4">
        <f>IF([1]Source!BA691&lt;&gt; 0, [1]Source!BA691, 1)</f>
        <v>1</v>
      </c>
      <c r="J845" s="33">
        <f>[1]Source!S691</f>
        <v>359224.32000000001</v>
      </c>
      <c r="K845" s="33"/>
      <c r="M845"/>
      <c r="N845"/>
      <c r="O845"/>
      <c r="P845"/>
      <c r="Q845"/>
    </row>
    <row r="846" spans="1:33" ht="14.25" x14ac:dyDescent="0.2">
      <c r="A846" s="31" t="s">
        <v>66</v>
      </c>
      <c r="B846" s="31" t="str">
        <f>[1]Source!F692</f>
        <v>цена поставщика</v>
      </c>
      <c r="C846" s="31" t="str">
        <f>[1]Source!G692</f>
        <v>Крошка гранитная</v>
      </c>
      <c r="D846" s="32" t="str">
        <f>[1]Source!H692</f>
        <v>кг</v>
      </c>
      <c r="E846" s="4">
        <f>[1]Source!I692</f>
        <v>17270.400000000001</v>
      </c>
      <c r="F846" s="33">
        <f>[1]Source!AK692</f>
        <v>4.43</v>
      </c>
      <c r="G846" s="39" t="s">
        <v>45</v>
      </c>
      <c r="H846" s="4">
        <f>[1]Source!AW692</f>
        <v>1</v>
      </c>
      <c r="I846" s="4">
        <f>IF([1]Source!BC692&lt;&gt; 0, [1]Source!BC692, 1)</f>
        <v>1</v>
      </c>
      <c r="J846" s="33">
        <f>[1]Source!O692</f>
        <v>76507.87</v>
      </c>
      <c r="K846" s="33"/>
      <c r="M846"/>
      <c r="N846"/>
      <c r="O846"/>
      <c r="P846"/>
      <c r="Q846"/>
      <c r="AB846">
        <f>ROUND(([1]Source!BZ692/100)*ROUND(([1]Source!AF692*[1]Source!AV692)*[1]Source!I692, 2), 2)</f>
        <v>0</v>
      </c>
      <c r="AC846">
        <f>[1]Source!X692</f>
        <v>0</v>
      </c>
      <c r="AD846">
        <f>ROUND(([1]Source!CA692/100)*ROUND(([1]Source!AF692*[1]Source!AV692)*[1]Source!I692, 2), 2)</f>
        <v>0</v>
      </c>
      <c r="AE846">
        <f>[1]Source!Y692</f>
        <v>0</v>
      </c>
      <c r="AF846">
        <f>ROUND((175/100)*ROUND(([1]Source!AE692*[1]Source!AV692)*[1]Source!I692, 2), 2)</f>
        <v>0</v>
      </c>
      <c r="AG846">
        <f>ROUND((108/100)*ROUND([1]Source!CS692*[1]Source!I692, 2), 2)</f>
        <v>0</v>
      </c>
    </row>
    <row r="847" spans="1:33" ht="15" x14ac:dyDescent="0.25">
      <c r="A847" s="35"/>
      <c r="B847" s="35"/>
      <c r="C847" s="35"/>
      <c r="D847" s="35"/>
      <c r="E847" s="35"/>
      <c r="F847" s="35"/>
      <c r="G847" s="35"/>
      <c r="H847" s="35"/>
      <c r="I847" s="36">
        <f>J845+SUM(J846:J846)</f>
        <v>435732.19</v>
      </c>
      <c r="J847" s="36"/>
      <c r="K847" s="37">
        <f>IF([1]Source!I691&lt;&gt;0, ROUND(I847/[1]Source!I691, 2), 0)</f>
        <v>1695.46</v>
      </c>
      <c r="M847"/>
      <c r="N847"/>
      <c r="O847"/>
      <c r="P847"/>
      <c r="Q847"/>
      <c r="AA847" s="38">
        <f>I847</f>
        <v>435732.19</v>
      </c>
    </row>
    <row r="848" spans="1:33" ht="28.5" x14ac:dyDescent="0.2">
      <c r="A848" s="31">
        <v>121</v>
      </c>
      <c r="B848" s="31" t="str">
        <f>[1]Source!F693</f>
        <v>5.4-1201-1-1/1</v>
      </c>
      <c r="C848" s="31" t="str">
        <f>[1]Source!G693</f>
        <v>Сбор случайного мусора по территории</v>
      </c>
      <c r="D848" s="32" t="str">
        <f>[1]Source!H693</f>
        <v>100 м2</v>
      </c>
      <c r="E848" s="4">
        <f>[1]Source!I693</f>
        <v>2.57</v>
      </c>
      <c r="F848" s="33"/>
      <c r="G848" s="34"/>
      <c r="H848" s="4"/>
      <c r="I848" s="4"/>
      <c r="J848" s="33"/>
      <c r="K848" s="33"/>
      <c r="M848"/>
      <c r="N848"/>
      <c r="O848"/>
      <c r="P848"/>
      <c r="Q848"/>
      <c r="AB848">
        <f>ROUND(([1]Source!BZ693/100)*ROUND(([1]Source!AF693*[1]Source!AV693)*[1]Source!I693, 2), 2)</f>
        <v>29624.49</v>
      </c>
      <c r="AC848">
        <f>[1]Source!X693</f>
        <v>29624.49</v>
      </c>
      <c r="AD848">
        <f>ROUND(([1]Source!CA693/100)*ROUND(([1]Source!AF693*[1]Source!AV693)*[1]Source!I693, 2), 2)</f>
        <v>4232.07</v>
      </c>
      <c r="AE848">
        <f>[1]Source!Y693</f>
        <v>4232.07</v>
      </c>
      <c r="AF848">
        <f>ROUND((175/100)*ROUND(([1]Source!AE693*[1]Source!AV693)*[1]Source!I693, 2), 2)</f>
        <v>0</v>
      </c>
      <c r="AG848">
        <f>ROUND((108/100)*ROUND([1]Source!CS693*[1]Source!I693, 2), 2)</f>
        <v>0</v>
      </c>
    </row>
    <row r="849" spans="1:43" x14ac:dyDescent="0.2">
      <c r="C849" s="40" t="str">
        <f>"Объем: "&amp;[1]Source!I693&amp;"=257/"&amp;"100"</f>
        <v>Объем: 2,57=257/100</v>
      </c>
      <c r="M849"/>
      <c r="N849"/>
      <c r="O849"/>
      <c r="P849"/>
      <c r="Q849"/>
    </row>
    <row r="850" spans="1:43" ht="14.25" x14ac:dyDescent="0.2">
      <c r="A850" s="31"/>
      <c r="B850" s="31"/>
      <c r="C850" s="31" t="s">
        <v>34</v>
      </c>
      <c r="D850" s="32"/>
      <c r="E850" s="4"/>
      <c r="F850" s="33">
        <f>[1]Source!AO693</f>
        <v>12.4</v>
      </c>
      <c r="G850" s="34" t="str">
        <f>[1]Source!DG693</f>
        <v>)*4*332</v>
      </c>
      <c r="H850" s="4">
        <f>[1]Source!AV693</f>
        <v>1</v>
      </c>
      <c r="I850" s="4">
        <f>IF([1]Source!BA693&lt;&gt; 0, [1]Source!BA693, 1)</f>
        <v>1</v>
      </c>
      <c r="J850" s="33">
        <f>[1]Source!S693</f>
        <v>42320.7</v>
      </c>
      <c r="K850" s="33"/>
      <c r="M850"/>
      <c r="N850"/>
      <c r="O850"/>
      <c r="P850"/>
      <c r="Q850"/>
    </row>
    <row r="851" spans="1:43" ht="14.25" x14ac:dyDescent="0.2">
      <c r="A851" s="31"/>
      <c r="B851" s="31"/>
      <c r="C851" s="31" t="s">
        <v>47</v>
      </c>
      <c r="D851" s="32"/>
      <c r="E851" s="4"/>
      <c r="F851" s="33">
        <f>[1]Source!AL693</f>
        <v>0.69</v>
      </c>
      <c r="G851" s="34" t="str">
        <f>[1]Source!DD693</f>
        <v>)*4*332</v>
      </c>
      <c r="H851" s="4">
        <f>[1]Source!AW693</f>
        <v>1</v>
      </c>
      <c r="I851" s="4">
        <f>IF([1]Source!BC693&lt;&gt; 0, [1]Source!BC693, 1)</f>
        <v>1</v>
      </c>
      <c r="J851" s="33">
        <f>[1]Source!P693</f>
        <v>2354.94</v>
      </c>
      <c r="K851" s="33"/>
      <c r="M851"/>
      <c r="N851"/>
      <c r="O851"/>
      <c r="P851"/>
      <c r="Q851"/>
    </row>
    <row r="852" spans="1:43" ht="14.25" x14ac:dyDescent="0.2">
      <c r="A852" s="31"/>
      <c r="B852" s="31"/>
      <c r="C852" s="31" t="s">
        <v>40</v>
      </c>
      <c r="D852" s="32" t="s">
        <v>39</v>
      </c>
      <c r="E852" s="4">
        <f>[1]Source!AT693</f>
        <v>70</v>
      </c>
      <c r="F852" s="33"/>
      <c r="G852" s="34"/>
      <c r="H852" s="4"/>
      <c r="I852" s="4"/>
      <c r="J852" s="33">
        <f>SUM(AC848:AC851)</f>
        <v>29624.49</v>
      </c>
      <c r="K852" s="33"/>
      <c r="M852"/>
      <c r="N852"/>
      <c r="O852"/>
      <c r="P852"/>
      <c r="Q852"/>
    </row>
    <row r="853" spans="1:43" ht="14.25" x14ac:dyDescent="0.2">
      <c r="A853" s="31"/>
      <c r="B853" s="31"/>
      <c r="C853" s="31" t="s">
        <v>41</v>
      </c>
      <c r="D853" s="32" t="s">
        <v>39</v>
      </c>
      <c r="E853" s="4">
        <f>[1]Source!AU693</f>
        <v>10</v>
      </c>
      <c r="F853" s="33"/>
      <c r="G853" s="34"/>
      <c r="H853" s="4"/>
      <c r="I853" s="4"/>
      <c r="J853" s="33">
        <f>SUM(AE848:AE852)</f>
        <v>4232.07</v>
      </c>
      <c r="K853" s="33"/>
      <c r="M853"/>
      <c r="N853"/>
      <c r="O853"/>
      <c r="P853"/>
      <c r="Q853"/>
    </row>
    <row r="854" spans="1:43" ht="14.25" x14ac:dyDescent="0.2">
      <c r="A854" s="31"/>
      <c r="B854" s="31"/>
      <c r="C854" s="31" t="s">
        <v>42</v>
      </c>
      <c r="D854" s="32" t="s">
        <v>43</v>
      </c>
      <c r="E854" s="4">
        <f>[1]Source!AQ693</f>
        <v>0.05</v>
      </c>
      <c r="F854" s="33"/>
      <c r="G854" s="34" t="str">
        <f>[1]Source!DI693</f>
        <v>)*4*332</v>
      </c>
      <c r="H854" s="4">
        <f>[1]Source!AV693</f>
        <v>1</v>
      </c>
      <c r="I854" s="4"/>
      <c r="J854" s="33"/>
      <c r="K854" s="33">
        <f>[1]Source!U693</f>
        <v>170.648</v>
      </c>
      <c r="M854"/>
      <c r="N854"/>
      <c r="O854"/>
      <c r="P854"/>
      <c r="Q854"/>
    </row>
    <row r="855" spans="1:43" ht="15" x14ac:dyDescent="0.25">
      <c r="A855" s="35"/>
      <c r="B855" s="35"/>
      <c r="C855" s="35"/>
      <c r="D855" s="35"/>
      <c r="E855" s="35"/>
      <c r="F855" s="35"/>
      <c r="G855" s="35"/>
      <c r="H855" s="35"/>
      <c r="I855" s="36">
        <f>J850+J851+J852+J853</f>
        <v>78532.200000000012</v>
      </c>
      <c r="J855" s="36"/>
      <c r="K855" s="37">
        <f>IF([1]Source!I693&lt;&gt;0, ROUND(I855/[1]Source!I693, 2), 0)</f>
        <v>30557.279999999999</v>
      </c>
      <c r="M855"/>
      <c r="N855"/>
      <c r="O855"/>
      <c r="P855"/>
      <c r="Q855"/>
      <c r="AA855" s="38">
        <f>I855</f>
        <v>78532.200000000012</v>
      </c>
    </row>
    <row r="856" spans="1:43" x14ac:dyDescent="0.2">
      <c r="M856"/>
      <c r="N856"/>
      <c r="O856"/>
      <c r="P856"/>
      <c r="Q856"/>
    </row>
    <row r="857" spans="1:43" ht="30" x14ac:dyDescent="0.25">
      <c r="A857" s="42" t="str">
        <f>CONCATENATE("Итого по разделу: ",IF([1]Source!G695&lt;&gt;"Новый раздел", [1]Source!G695, ""))</f>
        <v>Итого по разделу: Содержание  площадки, покрытой гранитной плиткой, перед рестораном " Восход ". ( S= 257 м2 )</v>
      </c>
      <c r="B857" s="42"/>
      <c r="C857" s="42"/>
      <c r="D857" s="42"/>
      <c r="E857" s="42"/>
      <c r="F857" s="42"/>
      <c r="G857" s="42"/>
      <c r="H857" s="42"/>
      <c r="I857" s="43">
        <f>SUM(AA805:AA856)</f>
        <v>1284115.9099999999</v>
      </c>
      <c r="J857" s="44"/>
      <c r="K857" s="47"/>
      <c r="L857" s="38">
        <f>I857</f>
        <v>1284115.9099999999</v>
      </c>
      <c r="M857" s="2">
        <f>ROUND(I857*$I$4874,2)</f>
        <v>927397.3</v>
      </c>
      <c r="N857" s="2">
        <f>ROUND(M857*1.2/105*100,2)</f>
        <v>1059882.6299999999</v>
      </c>
      <c r="O857" s="2">
        <f>ROUND(N857*0.05,2)</f>
        <v>52994.13</v>
      </c>
      <c r="P857" s="2">
        <f>N857+O857</f>
        <v>1112876.7599999998</v>
      </c>
      <c r="Q857" s="3">
        <v>29</v>
      </c>
      <c r="R857">
        <v>2</v>
      </c>
      <c r="S857" s="2">
        <v>203869.33</v>
      </c>
      <c r="AQ857" s="46" t="str">
        <f>CONCATENATE("Итого по разделу: ",IF([1]Source!G695&lt;&gt;"Новый раздел", [1]Source!G695, ""))</f>
        <v>Итого по разделу: Содержание  площадки, покрытой гранитной плиткой, перед рестораном " Восход ". ( S= 257 м2 )</v>
      </c>
    </row>
    <row r="858" spans="1:43" x14ac:dyDescent="0.2">
      <c r="M858"/>
      <c r="N858"/>
      <c r="O858"/>
      <c r="P858"/>
      <c r="Q858"/>
    </row>
    <row r="859" spans="1:43" x14ac:dyDescent="0.2">
      <c r="M859"/>
      <c r="N859"/>
      <c r="O859"/>
      <c r="P859"/>
      <c r="Q859"/>
    </row>
    <row r="860" spans="1:43" ht="33" x14ac:dyDescent="0.25">
      <c r="A860" s="29" t="str">
        <f>CONCATENATE("Раздел: ",IF([1]Source!G725&lt;&gt;"Новый раздел", [1]Source!G725, ""))</f>
        <v>Раздел: Содержание  покрытий террасной доской: балкон и летняя площадка  " Гастрономическог центра "- 465 м2, балкон Восхода-195 м2.</v>
      </c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M860"/>
      <c r="N860"/>
      <c r="O860"/>
      <c r="P860"/>
      <c r="Q860"/>
      <c r="AP860" s="30" t="str">
        <f>CONCATENATE("Раздел: ",IF([1]Source!G725&lt;&gt;"Новый раздел", [1]Source!G725, ""))</f>
        <v>Раздел: Содержание  покрытий террасной доской: балкон и летняя площадка  " Гастрономическог центра "- 465 м2, балкон Восхода-195 м2.</v>
      </c>
    </row>
    <row r="861" spans="1:43" ht="14.25" x14ac:dyDescent="0.2">
      <c r="A861" s="31">
        <v>122</v>
      </c>
      <c r="B861" s="31" t="str">
        <f>[1]Source!F729</f>
        <v>калькуляция</v>
      </c>
      <c r="C861" s="31" t="str">
        <f>[1]Source!G729</f>
        <v>Подметание площадки вручную</v>
      </c>
      <c r="D861" s="32" t="str">
        <f>[1]Source!H729</f>
        <v>м2</v>
      </c>
      <c r="E861" s="4">
        <f>[1]Source!I729</f>
        <v>660</v>
      </c>
      <c r="F861" s="33"/>
      <c r="G861" s="34"/>
      <c r="H861" s="4"/>
      <c r="I861" s="4"/>
      <c r="J861" s="33"/>
      <c r="K861" s="33"/>
      <c r="M861"/>
      <c r="N861"/>
      <c r="O861"/>
      <c r="P861"/>
      <c r="Q861"/>
      <c r="AB861">
        <f>ROUND(([1]Source!BZ729/100)*ROUND(([1]Source!AF729*[1]Source!AV729)*[1]Source!I729, 2), 2)</f>
        <v>0</v>
      </c>
      <c r="AC861">
        <f>[1]Source!X729</f>
        <v>0</v>
      </c>
      <c r="AD861">
        <f>ROUND(([1]Source!CA729/100)*ROUND(([1]Source!AF729*[1]Source!AV729)*[1]Source!I729, 2), 2)</f>
        <v>0</v>
      </c>
      <c r="AE861">
        <f>[1]Source!Y729</f>
        <v>0</v>
      </c>
      <c r="AF861">
        <f>ROUND((175/100)*ROUND(([1]Source!AE729*[1]Source!AV729)*[1]Source!I729, 2), 2)</f>
        <v>0</v>
      </c>
      <c r="AG861">
        <f>ROUND((108/100)*ROUND([1]Source!CS729*[1]Source!I729, 2), 2)</f>
        <v>0</v>
      </c>
    </row>
    <row r="862" spans="1:43" ht="14.25" x14ac:dyDescent="0.2">
      <c r="A862" s="31"/>
      <c r="B862" s="31"/>
      <c r="C862" s="31" t="s">
        <v>34</v>
      </c>
      <c r="D862" s="32"/>
      <c r="E862" s="4"/>
      <c r="F862" s="33">
        <f>[1]Source!AO729</f>
        <v>3.78</v>
      </c>
      <c r="G862" s="34" t="str">
        <f>[1]Source!DG729</f>
        <v>*4*164</v>
      </c>
      <c r="H862" s="4">
        <f>[1]Source!AV729</f>
        <v>1</v>
      </c>
      <c r="I862" s="4">
        <f>IF([1]Source!BA729&lt;&gt; 0, [1]Source!BA729, 1)</f>
        <v>1</v>
      </c>
      <c r="J862" s="33">
        <f>[1]Source!S729</f>
        <v>1636588.8</v>
      </c>
      <c r="K862" s="33"/>
      <c r="M862"/>
      <c r="N862"/>
      <c r="O862"/>
      <c r="P862"/>
      <c r="Q862"/>
    </row>
    <row r="863" spans="1:43" ht="15" x14ac:dyDescent="0.25">
      <c r="A863" s="35"/>
      <c r="B863" s="35"/>
      <c r="C863" s="35"/>
      <c r="D863" s="35"/>
      <c r="E863" s="35"/>
      <c r="F863" s="35"/>
      <c r="G863" s="35"/>
      <c r="H863" s="35"/>
      <c r="I863" s="36">
        <f>J862</f>
        <v>1636588.8</v>
      </c>
      <c r="J863" s="36"/>
      <c r="K863" s="37">
        <f>IF([1]Source!I729&lt;&gt;0, ROUND(I863/[1]Source!I729, 2), 0)</f>
        <v>2479.6799999999998</v>
      </c>
      <c r="M863"/>
      <c r="N863"/>
      <c r="O863"/>
      <c r="P863"/>
      <c r="Q863"/>
      <c r="AA863" s="38">
        <f>I863</f>
        <v>1636588.8</v>
      </c>
    </row>
    <row r="864" spans="1:43" ht="57" x14ac:dyDescent="0.2">
      <c r="A864" s="31">
        <v>123</v>
      </c>
      <c r="B864" s="31" t="str">
        <f>[1]Source!F730</f>
        <v>5.3-1102-23-1/1</v>
      </c>
      <c r="C864" s="31" t="str">
        <f>[1]Source!G730</f>
        <v>Уборка от снега деревянного настила - амфитеатра, тротуаров, лестниц, экотроп</v>
      </c>
      <c r="D864" s="32" t="str">
        <f>[1]Source!H730</f>
        <v>100 м2 горизонтальной проекции</v>
      </c>
      <c r="E864" s="4">
        <f>[1]Source!I730</f>
        <v>6.6</v>
      </c>
      <c r="F864" s="33"/>
      <c r="G864" s="34"/>
      <c r="H864" s="4"/>
      <c r="I864" s="4"/>
      <c r="J864" s="33"/>
      <c r="K864" s="33"/>
      <c r="M864"/>
      <c r="N864"/>
      <c r="O864"/>
      <c r="P864"/>
      <c r="Q864"/>
      <c r="AB864">
        <f>ROUND(([1]Source!BZ730/100)*ROUND(([1]Source!AF730*[1]Source!AV730)*[1]Source!I730, 2), 2)</f>
        <v>2932673.99</v>
      </c>
      <c r="AC864">
        <f>[1]Source!X730</f>
        <v>2932673.99</v>
      </c>
      <c r="AD864">
        <f>ROUND(([1]Source!CA730/100)*ROUND(([1]Source!AF730*[1]Source!AV730)*[1]Source!I730, 2), 2)</f>
        <v>418953.43</v>
      </c>
      <c r="AE864">
        <f>[1]Source!Y730</f>
        <v>418953.43</v>
      </c>
      <c r="AF864">
        <f>ROUND((175/100)*ROUND(([1]Source!AE730*[1]Source!AV730)*[1]Source!I730, 2), 2)</f>
        <v>0</v>
      </c>
      <c r="AG864">
        <f>ROUND((108/100)*ROUND([1]Source!CS730*[1]Source!I730, 2), 2)</f>
        <v>0</v>
      </c>
    </row>
    <row r="865" spans="1:33" x14ac:dyDescent="0.2">
      <c r="C865" s="40" t="str">
        <f>"Объем: "&amp;[1]Source!I730&amp;"=660/"&amp;"100"</f>
        <v>Объем: 6,6=660/100</v>
      </c>
      <c r="M865"/>
      <c r="N865"/>
      <c r="O865"/>
      <c r="P865"/>
      <c r="Q865"/>
    </row>
    <row r="866" spans="1:33" ht="14.25" x14ac:dyDescent="0.2">
      <c r="A866" s="31"/>
      <c r="B866" s="31"/>
      <c r="C866" s="31" t="s">
        <v>34</v>
      </c>
      <c r="D866" s="32"/>
      <c r="E866" s="4"/>
      <c r="F866" s="33">
        <f>[1]Source!AO730</f>
        <v>944.61</v>
      </c>
      <c r="G866" s="34" t="str">
        <f>[1]Source!DG730</f>
        <v>*4*168</v>
      </c>
      <c r="H866" s="4">
        <f>[1]Source!AV730</f>
        <v>1</v>
      </c>
      <c r="I866" s="4">
        <f>IF([1]Source!BA730&lt;&gt; 0, [1]Source!BA730, 1)</f>
        <v>1</v>
      </c>
      <c r="J866" s="33">
        <f>[1]Source!S730</f>
        <v>4189534.27</v>
      </c>
      <c r="K866" s="33"/>
      <c r="M866"/>
      <c r="N866"/>
      <c r="O866"/>
      <c r="P866"/>
      <c r="Q866"/>
    </row>
    <row r="867" spans="1:33" ht="14.25" x14ac:dyDescent="0.2">
      <c r="A867" s="31"/>
      <c r="B867" s="31"/>
      <c r="C867" s="31" t="s">
        <v>40</v>
      </c>
      <c r="D867" s="32" t="s">
        <v>39</v>
      </c>
      <c r="E867" s="4">
        <f>[1]Source!AT730</f>
        <v>70</v>
      </c>
      <c r="F867" s="33"/>
      <c r="G867" s="34"/>
      <c r="H867" s="4"/>
      <c r="I867" s="4"/>
      <c r="J867" s="33">
        <f>SUM(AC864:AC866)</f>
        <v>2932673.99</v>
      </c>
      <c r="K867" s="33"/>
      <c r="M867"/>
      <c r="N867"/>
      <c r="O867"/>
      <c r="P867"/>
      <c r="Q867"/>
    </row>
    <row r="868" spans="1:33" ht="14.25" x14ac:dyDescent="0.2">
      <c r="A868" s="31"/>
      <c r="B868" s="31"/>
      <c r="C868" s="31" t="s">
        <v>41</v>
      </c>
      <c r="D868" s="32" t="s">
        <v>39</v>
      </c>
      <c r="E868" s="4">
        <f>[1]Source!AU730</f>
        <v>10</v>
      </c>
      <c r="F868" s="33"/>
      <c r="G868" s="34"/>
      <c r="H868" s="4"/>
      <c r="I868" s="4"/>
      <c r="J868" s="33">
        <f>SUM(AE864:AE867)</f>
        <v>418953.43</v>
      </c>
      <c r="K868" s="33"/>
      <c r="M868"/>
      <c r="N868"/>
      <c r="O868"/>
      <c r="P868"/>
      <c r="Q868"/>
    </row>
    <row r="869" spans="1:33" ht="14.25" x14ac:dyDescent="0.2">
      <c r="A869" s="31"/>
      <c r="B869" s="31"/>
      <c r="C869" s="31" t="s">
        <v>42</v>
      </c>
      <c r="D869" s="32" t="s">
        <v>43</v>
      </c>
      <c r="E869" s="4">
        <f>[1]Source!AQ730</f>
        <v>3.81</v>
      </c>
      <c r="F869" s="33"/>
      <c r="G869" s="34" t="str">
        <f>[1]Source!DI730</f>
        <v>*4*168</v>
      </c>
      <c r="H869" s="4">
        <f>[1]Source!AV730</f>
        <v>1</v>
      </c>
      <c r="I869" s="4"/>
      <c r="J869" s="33"/>
      <c r="K869" s="33">
        <f>[1]Source!U730</f>
        <v>16898.112000000001</v>
      </c>
      <c r="M869"/>
      <c r="N869"/>
      <c r="O869"/>
      <c r="P869"/>
      <c r="Q869"/>
    </row>
    <row r="870" spans="1:33" ht="15" x14ac:dyDescent="0.25">
      <c r="A870" s="35"/>
      <c r="B870" s="35"/>
      <c r="C870" s="35"/>
      <c r="D870" s="35"/>
      <c r="E870" s="35"/>
      <c r="F870" s="35"/>
      <c r="G870" s="35"/>
      <c r="H870" s="35"/>
      <c r="I870" s="36">
        <f>J866+J867+J868</f>
        <v>7541161.6899999995</v>
      </c>
      <c r="J870" s="36"/>
      <c r="K870" s="37">
        <f>IF([1]Source!I730&lt;&gt;0, ROUND(I870/[1]Source!I730, 2), 0)</f>
        <v>1142600.26</v>
      </c>
      <c r="M870"/>
      <c r="N870"/>
      <c r="O870"/>
      <c r="P870"/>
      <c r="Q870"/>
      <c r="AA870" s="38">
        <f>I870</f>
        <v>7541161.6899999995</v>
      </c>
    </row>
    <row r="871" spans="1:33" ht="28.5" x14ac:dyDescent="0.2">
      <c r="A871" s="31">
        <v>124</v>
      </c>
      <c r="B871" s="31" t="str">
        <f>[1]Source!F731</f>
        <v>калькуляция</v>
      </c>
      <c r="C871" s="31" t="str">
        <f>[1]Source!G731</f>
        <v>Посыпка гранитной крошкой  дорожных покрытий вручную( 100г/м2 )</v>
      </c>
      <c r="D871" s="32" t="str">
        <f>[1]Source!H731</f>
        <v>м2</v>
      </c>
      <c r="E871" s="4">
        <f>[1]Source!I731</f>
        <v>660</v>
      </c>
      <c r="F871" s="33"/>
      <c r="G871" s="34"/>
      <c r="H871" s="4"/>
      <c r="I871" s="4"/>
      <c r="J871" s="33"/>
      <c r="K871" s="33"/>
      <c r="M871"/>
      <c r="N871"/>
      <c r="O871"/>
      <c r="P871"/>
      <c r="Q871"/>
      <c r="AB871">
        <f>ROUND(([1]Source!BZ731/100)*ROUND(([1]Source!AF731*[1]Source!AV731)*[1]Source!I731, 2), 2)</f>
        <v>0</v>
      </c>
      <c r="AC871">
        <f>[1]Source!X731</f>
        <v>0</v>
      </c>
      <c r="AD871">
        <f>ROUND(([1]Source!CA731/100)*ROUND(([1]Source!AF731*[1]Source!AV731)*[1]Source!I731, 2), 2)</f>
        <v>0</v>
      </c>
      <c r="AE871">
        <f>[1]Source!Y731</f>
        <v>0</v>
      </c>
      <c r="AF871">
        <f>ROUND((175/100)*ROUND(([1]Source!AE731*[1]Source!AV731)*[1]Source!I731, 2), 2)</f>
        <v>0</v>
      </c>
      <c r="AG871">
        <f>ROUND((108/100)*ROUND([1]Source!CS731*[1]Source!I731, 2), 2)</f>
        <v>0</v>
      </c>
    </row>
    <row r="872" spans="1:33" ht="14.25" x14ac:dyDescent="0.2">
      <c r="A872" s="31"/>
      <c r="B872" s="31"/>
      <c r="C872" s="31" t="s">
        <v>34</v>
      </c>
      <c r="D872" s="32"/>
      <c r="E872" s="4"/>
      <c r="F872" s="33">
        <f>[1]Source!AO731</f>
        <v>2.08</v>
      </c>
      <c r="G872" s="34" t="str">
        <f>[1]Source!DG731</f>
        <v>*4*168</v>
      </c>
      <c r="H872" s="4">
        <f>[1]Source!AV731</f>
        <v>1</v>
      </c>
      <c r="I872" s="4">
        <f>IF([1]Source!BA731&lt;&gt; 0, [1]Source!BA731, 1)</f>
        <v>1</v>
      </c>
      <c r="J872" s="33">
        <f>[1]Source!S731</f>
        <v>922521.59999999998</v>
      </c>
      <c r="K872" s="33"/>
      <c r="M872"/>
      <c r="N872"/>
      <c r="O872"/>
      <c r="P872"/>
      <c r="Q872"/>
    </row>
    <row r="873" spans="1:33" ht="14.25" x14ac:dyDescent="0.2">
      <c r="A873" s="31" t="s">
        <v>67</v>
      </c>
      <c r="B873" s="31" t="str">
        <f>[1]Source!F732</f>
        <v>цена поставщика</v>
      </c>
      <c r="C873" s="31" t="str">
        <f>[1]Source!G732</f>
        <v>Крошка гранитная</v>
      </c>
      <c r="D873" s="32" t="str">
        <f>[1]Source!H732</f>
        <v>кг</v>
      </c>
      <c r="E873" s="4">
        <f>[1]Source!I732</f>
        <v>44352</v>
      </c>
      <c r="F873" s="33">
        <f>[1]Source!AK732</f>
        <v>4.43</v>
      </c>
      <c r="G873" s="39" t="s">
        <v>68</v>
      </c>
      <c r="H873" s="4">
        <f>[1]Source!AW732</f>
        <v>1</v>
      </c>
      <c r="I873" s="4">
        <f>IF([1]Source!BC732&lt;&gt; 0, [1]Source!BC732, 1)</f>
        <v>1</v>
      </c>
      <c r="J873" s="33">
        <f>[1]Source!O732</f>
        <v>196479.35999999999</v>
      </c>
      <c r="K873" s="33"/>
      <c r="M873"/>
      <c r="N873"/>
      <c r="O873"/>
      <c r="P873"/>
      <c r="Q873"/>
      <c r="AB873">
        <f>ROUND(([1]Source!BZ732/100)*ROUND(([1]Source!AF732*[1]Source!AV732)*[1]Source!I732, 2), 2)</f>
        <v>0</v>
      </c>
      <c r="AC873">
        <f>[1]Source!X732</f>
        <v>0</v>
      </c>
      <c r="AD873">
        <f>ROUND(([1]Source!CA732/100)*ROUND(([1]Source!AF732*[1]Source!AV732)*[1]Source!I732, 2), 2)</f>
        <v>0</v>
      </c>
      <c r="AE873">
        <f>[1]Source!Y732</f>
        <v>0</v>
      </c>
      <c r="AF873">
        <f>ROUND((175/100)*ROUND(([1]Source!AE732*[1]Source!AV732)*[1]Source!I732, 2), 2)</f>
        <v>0</v>
      </c>
      <c r="AG873">
        <f>ROUND((108/100)*ROUND([1]Source!CS732*[1]Source!I732, 2), 2)</f>
        <v>0</v>
      </c>
    </row>
    <row r="874" spans="1:33" ht="15" x14ac:dyDescent="0.25">
      <c r="A874" s="35"/>
      <c r="B874" s="35"/>
      <c r="C874" s="35"/>
      <c r="D874" s="35"/>
      <c r="E874" s="35"/>
      <c r="F874" s="35"/>
      <c r="G874" s="35"/>
      <c r="H874" s="35"/>
      <c r="I874" s="36">
        <f>J872+SUM(J873:J873)</f>
        <v>1119000.96</v>
      </c>
      <c r="J874" s="36"/>
      <c r="K874" s="37">
        <f>IF([1]Source!I731&lt;&gt;0, ROUND(I874/[1]Source!I731, 2), 0)</f>
        <v>1695.46</v>
      </c>
      <c r="M874"/>
      <c r="N874"/>
      <c r="O874"/>
      <c r="P874"/>
      <c r="Q874"/>
      <c r="AA874" s="38">
        <f>I874</f>
        <v>1119000.96</v>
      </c>
    </row>
    <row r="875" spans="1:33" ht="28.5" x14ac:dyDescent="0.2">
      <c r="A875" s="31">
        <v>125</v>
      </c>
      <c r="B875" s="31" t="str">
        <f>[1]Source!F733</f>
        <v>5.4-1201-1-1/1</v>
      </c>
      <c r="C875" s="31" t="str">
        <f>[1]Source!G733</f>
        <v>Сбор случайного мусора по территории</v>
      </c>
      <c r="D875" s="32" t="str">
        <f>[1]Source!H733</f>
        <v>100 м2</v>
      </c>
      <c r="E875" s="4">
        <f>[1]Source!I733</f>
        <v>6.6</v>
      </c>
      <c r="F875" s="33"/>
      <c r="G875" s="34"/>
      <c r="H875" s="4"/>
      <c r="I875" s="4"/>
      <c r="J875" s="33"/>
      <c r="K875" s="33"/>
      <c r="M875"/>
      <c r="N875"/>
      <c r="O875"/>
      <c r="P875"/>
      <c r="Q875"/>
      <c r="AB875">
        <f>ROUND(([1]Source!BZ733/100)*ROUND(([1]Source!AF733*[1]Source!AV733)*[1]Source!I733, 2), 2)</f>
        <v>76078.460000000006</v>
      </c>
      <c r="AC875">
        <f>[1]Source!X733</f>
        <v>76078.460000000006</v>
      </c>
      <c r="AD875">
        <f>ROUND(([1]Source!CA733/100)*ROUND(([1]Source!AF733*[1]Source!AV733)*[1]Source!I733, 2), 2)</f>
        <v>10868.35</v>
      </c>
      <c r="AE875">
        <f>[1]Source!Y733</f>
        <v>10868.35</v>
      </c>
      <c r="AF875">
        <f>ROUND((175/100)*ROUND(([1]Source!AE733*[1]Source!AV733)*[1]Source!I733, 2), 2)</f>
        <v>0</v>
      </c>
      <c r="AG875">
        <f>ROUND((108/100)*ROUND([1]Source!CS733*[1]Source!I733, 2), 2)</f>
        <v>0</v>
      </c>
    </row>
    <row r="876" spans="1:33" x14ac:dyDescent="0.2">
      <c r="C876" s="40" t="str">
        <f>"Объем: "&amp;[1]Source!I733&amp;"=660/"&amp;"100"</f>
        <v>Объем: 6,6=660/100</v>
      </c>
      <c r="M876"/>
      <c r="N876"/>
      <c r="O876"/>
      <c r="P876"/>
      <c r="Q876"/>
    </row>
    <row r="877" spans="1:33" ht="14.25" x14ac:dyDescent="0.2">
      <c r="A877" s="31"/>
      <c r="B877" s="31"/>
      <c r="C877" s="31" t="s">
        <v>34</v>
      </c>
      <c r="D877" s="32"/>
      <c r="E877" s="4"/>
      <c r="F877" s="33">
        <f>[1]Source!AO733</f>
        <v>12.4</v>
      </c>
      <c r="G877" s="34" t="str">
        <f>[1]Source!DG733</f>
        <v>*4*332</v>
      </c>
      <c r="H877" s="4">
        <f>[1]Source!AV733</f>
        <v>1</v>
      </c>
      <c r="I877" s="4">
        <f>IF([1]Source!BA733&lt;&gt; 0, [1]Source!BA733, 1)</f>
        <v>1</v>
      </c>
      <c r="J877" s="33">
        <f>[1]Source!S733</f>
        <v>108683.52</v>
      </c>
      <c r="K877" s="33"/>
      <c r="M877"/>
      <c r="N877"/>
      <c r="O877"/>
      <c r="P877"/>
      <c r="Q877"/>
    </row>
    <row r="878" spans="1:33" ht="14.25" x14ac:dyDescent="0.2">
      <c r="A878" s="31"/>
      <c r="B878" s="31"/>
      <c r="C878" s="31" t="s">
        <v>47</v>
      </c>
      <c r="D878" s="32"/>
      <c r="E878" s="4"/>
      <c r="F878" s="33">
        <f>[1]Source!AL733</f>
        <v>0.69</v>
      </c>
      <c r="G878" s="34" t="str">
        <f>[1]Source!DD733</f>
        <v>)*4*332</v>
      </c>
      <c r="H878" s="4">
        <f>[1]Source!AW733</f>
        <v>1</v>
      </c>
      <c r="I878" s="4">
        <f>IF([1]Source!BC733&lt;&gt; 0, [1]Source!BC733, 1)</f>
        <v>1</v>
      </c>
      <c r="J878" s="33">
        <f>[1]Source!P733</f>
        <v>6047.71</v>
      </c>
      <c r="K878" s="33"/>
      <c r="M878"/>
      <c r="N878"/>
      <c r="O878"/>
      <c r="P878"/>
      <c r="Q878"/>
    </row>
    <row r="879" spans="1:33" ht="14.25" x14ac:dyDescent="0.2">
      <c r="A879" s="31"/>
      <c r="B879" s="31"/>
      <c r="C879" s="31" t="s">
        <v>40</v>
      </c>
      <c r="D879" s="32" t="s">
        <v>39</v>
      </c>
      <c r="E879" s="4">
        <f>[1]Source!AT733</f>
        <v>70</v>
      </c>
      <c r="F879" s="33"/>
      <c r="G879" s="34"/>
      <c r="H879" s="4"/>
      <c r="I879" s="4"/>
      <c r="J879" s="33">
        <f>SUM(AC875:AC878)</f>
        <v>76078.460000000006</v>
      </c>
      <c r="K879" s="33"/>
      <c r="M879"/>
      <c r="N879"/>
      <c r="O879"/>
      <c r="P879"/>
      <c r="Q879"/>
    </row>
    <row r="880" spans="1:33" ht="14.25" x14ac:dyDescent="0.2">
      <c r="A880" s="31"/>
      <c r="B880" s="31"/>
      <c r="C880" s="31" t="s">
        <v>41</v>
      </c>
      <c r="D880" s="32" t="s">
        <v>39</v>
      </c>
      <c r="E880" s="4">
        <f>[1]Source!AU733</f>
        <v>10</v>
      </c>
      <c r="F880" s="33"/>
      <c r="G880" s="34"/>
      <c r="H880" s="4"/>
      <c r="I880" s="4"/>
      <c r="J880" s="33">
        <f>SUM(AE875:AE879)</f>
        <v>10868.35</v>
      </c>
      <c r="K880" s="33"/>
      <c r="M880"/>
      <c r="N880"/>
      <c r="O880"/>
      <c r="P880"/>
      <c r="Q880"/>
    </row>
    <row r="881" spans="1:43" ht="14.25" x14ac:dyDescent="0.2">
      <c r="A881" s="31"/>
      <c r="B881" s="31"/>
      <c r="C881" s="31" t="s">
        <v>42</v>
      </c>
      <c r="D881" s="32" t="s">
        <v>43</v>
      </c>
      <c r="E881" s="4">
        <f>[1]Source!AQ733</f>
        <v>0.05</v>
      </c>
      <c r="F881" s="33"/>
      <c r="G881" s="34" t="str">
        <f>[1]Source!DI733</f>
        <v>*4*332</v>
      </c>
      <c r="H881" s="4">
        <f>[1]Source!AV733</f>
        <v>1</v>
      </c>
      <c r="I881" s="4"/>
      <c r="J881" s="33"/>
      <c r="K881" s="33">
        <f>[1]Source!U733</f>
        <v>438.24</v>
      </c>
      <c r="M881"/>
      <c r="N881"/>
      <c r="O881"/>
      <c r="P881"/>
      <c r="Q881"/>
    </row>
    <row r="882" spans="1:43" ht="15" x14ac:dyDescent="0.25">
      <c r="A882" s="35"/>
      <c r="B882" s="35"/>
      <c r="C882" s="35"/>
      <c r="D882" s="35"/>
      <c r="E882" s="35"/>
      <c r="F882" s="35"/>
      <c r="G882" s="35"/>
      <c r="H882" s="35"/>
      <c r="I882" s="36">
        <f>J877+J878+J879+J880</f>
        <v>201678.04</v>
      </c>
      <c r="J882" s="36"/>
      <c r="K882" s="37">
        <f>IF([1]Source!I733&lt;&gt;0, ROUND(I882/[1]Source!I733, 2), 0)</f>
        <v>30557.279999999999</v>
      </c>
      <c r="M882"/>
      <c r="N882"/>
      <c r="O882"/>
      <c r="P882"/>
      <c r="Q882"/>
      <c r="AA882" s="38">
        <f>I882</f>
        <v>201678.04</v>
      </c>
    </row>
    <row r="883" spans="1:43" x14ac:dyDescent="0.2">
      <c r="M883"/>
      <c r="N883"/>
      <c r="O883"/>
      <c r="P883"/>
      <c r="Q883"/>
    </row>
    <row r="884" spans="1:43" ht="30" x14ac:dyDescent="0.25">
      <c r="A884" s="49" t="str">
        <f>CONCATENATE("Итого по разделу: ",IF([1]Source!G735&lt;&gt;"Новый раздел", [1]Source!G735, ""))</f>
        <v>Итого по разделу: Содержание  покрытий террасной доской: балкон и летняя площадка  " Гастрономическог центра "- 465 м2, балкон Восхода-195 м2.</v>
      </c>
      <c r="B884" s="49"/>
      <c r="C884" s="49"/>
      <c r="D884" s="49"/>
      <c r="E884" s="49"/>
      <c r="F884" s="49"/>
      <c r="G884" s="49"/>
      <c r="H884" s="49"/>
      <c r="I884" s="50">
        <f>SUM(AA860:AA883)</f>
        <v>10498429.489999998</v>
      </c>
      <c r="J884" s="51"/>
      <c r="K884" s="47"/>
      <c r="L884" s="38">
        <f>I884</f>
        <v>10498429.489999998</v>
      </c>
      <c r="M884" s="2">
        <f>ROUND(I884*$I$4874,2)</f>
        <v>7582037.6699999999</v>
      </c>
      <c r="N884" s="2">
        <f>ROUND(M884*1.2/105*100,2)</f>
        <v>8665185.9100000001</v>
      </c>
      <c r="O884" s="2">
        <f>ROUND(N884*0.05,2)</f>
        <v>433259.3</v>
      </c>
      <c r="P884" s="2">
        <f>N884+O884</f>
        <v>9098445.2100000009</v>
      </c>
      <c r="Q884" s="3">
        <v>30</v>
      </c>
      <c r="R884">
        <v>2</v>
      </c>
      <c r="S884" s="2">
        <v>1676476.81</v>
      </c>
      <c r="AQ884" s="46" t="str">
        <f>CONCATENATE("Итого по разделу: ",IF([1]Source!G735&lt;&gt;"Новый раздел", [1]Source!G735, ""))</f>
        <v>Итого по разделу: Содержание  покрытий террасной доской: балкон и летняя площадка  " Гастрономическог центра "- 465 м2, балкон Восхода-195 м2.</v>
      </c>
    </row>
    <row r="885" spans="1:43" x14ac:dyDescent="0.2">
      <c r="M885"/>
      <c r="N885"/>
      <c r="O885"/>
      <c r="P885"/>
      <c r="Q885"/>
    </row>
    <row r="886" spans="1:43" x14ac:dyDescent="0.2">
      <c r="M886"/>
      <c r="N886"/>
      <c r="O886"/>
      <c r="P886"/>
      <c r="Q886"/>
    </row>
    <row r="887" spans="1:43" ht="49.5" x14ac:dyDescent="0.25">
      <c r="A887" s="29" t="str">
        <f>CONCATENATE("Раздел: ",IF([1]Source!G765&lt;&gt;"Новый раздел", [1]Source!G765, ""))</f>
        <v>Раздел: Содержание лавочек, " Большого амфитеатра" и  " Малого амфитеатра, из бруса. ( Sобщая= 613,69 м2,S зимней уборки=571,24м2; в т.ч  S=324,9 м2-лавочки большого амфитеатра, S=246,34 м2-  лавочки малого амфитеатра )</v>
      </c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M887"/>
      <c r="N887"/>
      <c r="O887"/>
      <c r="P887"/>
      <c r="Q887"/>
      <c r="AP887" s="30" t="str">
        <f>CONCATENATE("Раздел: ",IF([1]Source!G765&lt;&gt;"Новый раздел", [1]Source!G765, ""))</f>
        <v>Раздел: Содержание лавочек, " Большого амфитеатра" и  " Малого амфитеатра, из бруса. ( Sобщая= 613,69 м2,S зимней уборки=571,24м2; в т.ч  S=324,9 м2-лавочки большого амфитеатра, S=246,34 м2-  лавочки малого амфитеатра )</v>
      </c>
    </row>
    <row r="888" spans="1:43" ht="14.25" x14ac:dyDescent="0.2">
      <c r="A888" s="31">
        <v>126</v>
      </c>
      <c r="B888" s="31" t="str">
        <f>[1]Source!F769</f>
        <v>калькуляция</v>
      </c>
      <c r="C888" s="31" t="str">
        <f>[1]Source!G769</f>
        <v>Протирка лавочек</v>
      </c>
      <c r="D888" s="32" t="str">
        <f>[1]Source!H769</f>
        <v>м2</v>
      </c>
      <c r="E888" s="4">
        <f>[1]Source!I769</f>
        <v>613.69000000000005</v>
      </c>
      <c r="F888" s="33"/>
      <c r="G888" s="34"/>
      <c r="H888" s="4"/>
      <c r="I888" s="4"/>
      <c r="J888" s="33"/>
      <c r="K888" s="33"/>
      <c r="M888"/>
      <c r="N888"/>
      <c r="O888"/>
      <c r="P888"/>
      <c r="Q888"/>
      <c r="AB888">
        <f>ROUND(([1]Source!BZ769/100)*ROUND(([1]Source!AF769*[1]Source!AV769)*[1]Source!I769, 2), 2)</f>
        <v>0</v>
      </c>
      <c r="AC888">
        <f>[1]Source!X769</f>
        <v>0</v>
      </c>
      <c r="AD888">
        <f>ROUND(([1]Source!CA769/100)*ROUND(([1]Source!AF769*[1]Source!AV769)*[1]Source!I769, 2), 2)</f>
        <v>0</v>
      </c>
      <c r="AE888">
        <f>[1]Source!Y769</f>
        <v>0</v>
      </c>
      <c r="AF888">
        <f>ROUND((175/100)*ROUND(([1]Source!AE769*[1]Source!AV769)*[1]Source!I769, 2), 2)</f>
        <v>0</v>
      </c>
      <c r="AG888">
        <f>ROUND((108/100)*ROUND([1]Source!CS769*[1]Source!I769, 2), 2)</f>
        <v>0</v>
      </c>
    </row>
    <row r="889" spans="1:43" ht="14.25" x14ac:dyDescent="0.2">
      <c r="A889" s="31"/>
      <c r="B889" s="31"/>
      <c r="C889" s="31" t="s">
        <v>34</v>
      </c>
      <c r="D889" s="32"/>
      <c r="E889" s="4"/>
      <c r="F889" s="33">
        <f>[1]Source!AO769</f>
        <v>8.0500000000000007</v>
      </c>
      <c r="G889" s="34" t="str">
        <f>[1]Source!DG769</f>
        <v>*2*164</v>
      </c>
      <c r="H889" s="4">
        <f>[1]Source!AV769</f>
        <v>1</v>
      </c>
      <c r="I889" s="4">
        <f>IF([1]Source!BA769&lt;&gt; 0, [1]Source!BA769, 1)</f>
        <v>1</v>
      </c>
      <c r="J889" s="33">
        <f>[1]Source!S769</f>
        <v>1620387.08</v>
      </c>
      <c r="K889" s="33"/>
      <c r="M889"/>
      <c r="N889"/>
      <c r="O889"/>
      <c r="P889"/>
      <c r="Q889"/>
    </row>
    <row r="890" spans="1:43" ht="41.25" x14ac:dyDescent="0.2">
      <c r="A890" s="31" t="s">
        <v>69</v>
      </c>
      <c r="B890" s="31" t="str">
        <f>[1]Source!F770</f>
        <v>цена поставщика</v>
      </c>
      <c r="C890" s="31" t="s">
        <v>70</v>
      </c>
      <c r="D890" s="32" t="str">
        <f>[1]Source!H770</f>
        <v>л</v>
      </c>
      <c r="E890" s="4">
        <f>[1]Source!I770</f>
        <v>40.258063999999997</v>
      </c>
      <c r="F890" s="33">
        <f>[1]Source!AK770</f>
        <v>197.32</v>
      </c>
      <c r="G890" s="39" t="s">
        <v>71</v>
      </c>
      <c r="H890" s="4">
        <f>[1]Source!AW770</f>
        <v>1</v>
      </c>
      <c r="I890" s="4">
        <f>IF([1]Source!BC770&lt;&gt; 0, [1]Source!BC770, 1)</f>
        <v>1</v>
      </c>
      <c r="J890" s="33">
        <f>[1]Source!O770</f>
        <v>7943.72</v>
      </c>
      <c r="K890" s="33"/>
      <c r="M890"/>
      <c r="N890"/>
      <c r="O890"/>
      <c r="P890"/>
      <c r="Q890"/>
      <c r="AB890">
        <f>ROUND(([1]Source!BZ770/100)*ROUND(([1]Source!AF770*[1]Source!AV770)*[1]Source!I770, 2), 2)</f>
        <v>0</v>
      </c>
      <c r="AC890">
        <f>[1]Source!X770</f>
        <v>0</v>
      </c>
      <c r="AD890">
        <f>ROUND(([1]Source!CA770/100)*ROUND(([1]Source!AF770*[1]Source!AV770)*[1]Source!I770, 2), 2)</f>
        <v>0</v>
      </c>
      <c r="AE890">
        <f>[1]Source!Y770</f>
        <v>0</v>
      </c>
      <c r="AF890">
        <f>ROUND((175/100)*ROUND(([1]Source!AE770*[1]Source!AV770)*[1]Source!I770, 2), 2)</f>
        <v>0</v>
      </c>
      <c r="AG890">
        <f>ROUND((108/100)*ROUND([1]Source!CS770*[1]Source!I770, 2), 2)</f>
        <v>0</v>
      </c>
    </row>
    <row r="891" spans="1:43" ht="15" x14ac:dyDescent="0.25">
      <c r="A891" s="35"/>
      <c r="B891" s="35"/>
      <c r="C891" s="35"/>
      <c r="D891" s="35"/>
      <c r="E891" s="35"/>
      <c r="F891" s="35"/>
      <c r="G891" s="35"/>
      <c r="H891" s="35"/>
      <c r="I891" s="36">
        <f>J889+SUM(J890:J890)</f>
        <v>1628330.8</v>
      </c>
      <c r="J891" s="36"/>
      <c r="K891" s="37">
        <f>IF([1]Source!I769&lt;&gt;0, ROUND(I891/[1]Source!I769, 2), 0)</f>
        <v>2653.34</v>
      </c>
      <c r="M891"/>
      <c r="N891"/>
      <c r="O891"/>
      <c r="P891"/>
      <c r="Q891"/>
      <c r="AA891" s="38">
        <f>I891</f>
        <v>1628330.8</v>
      </c>
    </row>
    <row r="892" spans="1:43" ht="57" x14ac:dyDescent="0.2">
      <c r="A892" s="31">
        <v>127</v>
      </c>
      <c r="B892" s="31" t="str">
        <f>[1]Source!F771</f>
        <v>5.3-1102-23-1/1</v>
      </c>
      <c r="C892" s="31" t="str">
        <f>[1]Source!G771</f>
        <v>Уборка от снега деревянного настила - амфитеатра, тротуаров, лестниц, экотроп</v>
      </c>
      <c r="D892" s="32" t="str">
        <f>[1]Source!H771</f>
        <v>100 м2 горизонтальной проекции</v>
      </c>
      <c r="E892" s="4">
        <f>[1]Source!I771</f>
        <v>5.7123999999999997</v>
      </c>
      <c r="F892" s="33"/>
      <c r="G892" s="34"/>
      <c r="H892" s="4"/>
      <c r="I892" s="4"/>
      <c r="J892" s="33"/>
      <c r="K892" s="33"/>
      <c r="M892"/>
      <c r="N892"/>
      <c r="O892"/>
      <c r="P892"/>
      <c r="Q892"/>
      <c r="AB892">
        <f>ROUND(([1]Source!BZ771/100)*ROUND(([1]Source!AF771*[1]Source!AV771)*[1]Source!I771, 2), 2)</f>
        <v>634568.44999999995</v>
      </c>
      <c r="AC892">
        <f>[1]Source!X771</f>
        <v>634568.44999999995</v>
      </c>
      <c r="AD892">
        <f>ROUND(([1]Source!CA771/100)*ROUND(([1]Source!AF771*[1]Source!AV771)*[1]Source!I771, 2), 2)</f>
        <v>90652.64</v>
      </c>
      <c r="AE892">
        <f>[1]Source!Y771</f>
        <v>90652.64</v>
      </c>
      <c r="AF892">
        <f>ROUND((175/100)*ROUND(([1]Source!AE771*[1]Source!AV771)*[1]Source!I771, 2), 2)</f>
        <v>0</v>
      </c>
      <c r="AG892">
        <f>ROUND((108/100)*ROUND([1]Source!CS771*[1]Source!I771, 2), 2)</f>
        <v>0</v>
      </c>
    </row>
    <row r="893" spans="1:43" x14ac:dyDescent="0.2">
      <c r="C893" s="40" t="str">
        <f>"Объем: "&amp;[1]Source!I771&amp;"=571,24/"&amp;"100"</f>
        <v>Объем: 5,7124=571,24/100</v>
      </c>
      <c r="M893"/>
      <c r="N893"/>
      <c r="O893"/>
      <c r="P893"/>
      <c r="Q893"/>
    </row>
    <row r="894" spans="1:43" ht="14.25" x14ac:dyDescent="0.2">
      <c r="A894" s="31"/>
      <c r="B894" s="31"/>
      <c r="C894" s="31" t="s">
        <v>34</v>
      </c>
      <c r="D894" s="32"/>
      <c r="E894" s="4"/>
      <c r="F894" s="33">
        <f>[1]Source!AO771</f>
        <v>944.61</v>
      </c>
      <c r="G894" s="34" t="str">
        <f>[1]Source!DG771</f>
        <v>*1*168</v>
      </c>
      <c r="H894" s="4">
        <f>[1]Source!AV771</f>
        <v>1</v>
      </c>
      <c r="I894" s="4">
        <f>IF([1]Source!BA771&lt;&gt; 0, [1]Source!BA771, 1)</f>
        <v>1</v>
      </c>
      <c r="J894" s="33">
        <f>[1]Source!S771</f>
        <v>906526.35</v>
      </c>
      <c r="K894" s="33"/>
      <c r="M894"/>
      <c r="N894"/>
      <c r="O894"/>
      <c r="P894"/>
      <c r="Q894"/>
    </row>
    <row r="895" spans="1:43" ht="14.25" x14ac:dyDescent="0.2">
      <c r="A895" s="31"/>
      <c r="B895" s="31"/>
      <c r="C895" s="31" t="s">
        <v>40</v>
      </c>
      <c r="D895" s="32" t="s">
        <v>39</v>
      </c>
      <c r="E895" s="4">
        <f>[1]Source!AT771</f>
        <v>70</v>
      </c>
      <c r="F895" s="33"/>
      <c r="G895" s="34"/>
      <c r="H895" s="4"/>
      <c r="I895" s="4"/>
      <c r="J895" s="33">
        <f>SUM(AC892:AC894)</f>
        <v>634568.44999999995</v>
      </c>
      <c r="K895" s="33"/>
      <c r="M895"/>
      <c r="N895"/>
      <c r="O895"/>
      <c r="P895"/>
      <c r="Q895"/>
    </row>
    <row r="896" spans="1:43" ht="14.25" x14ac:dyDescent="0.2">
      <c r="A896" s="31"/>
      <c r="B896" s="31"/>
      <c r="C896" s="31" t="s">
        <v>41</v>
      </c>
      <c r="D896" s="32" t="s">
        <v>39</v>
      </c>
      <c r="E896" s="4">
        <f>[1]Source!AU771</f>
        <v>10</v>
      </c>
      <c r="F896" s="33"/>
      <c r="G896" s="34"/>
      <c r="H896" s="4"/>
      <c r="I896" s="4"/>
      <c r="J896" s="33">
        <f>SUM(AE892:AE895)</f>
        <v>90652.64</v>
      </c>
      <c r="K896" s="33"/>
      <c r="M896"/>
      <c r="N896"/>
      <c r="O896"/>
      <c r="P896"/>
      <c r="Q896"/>
    </row>
    <row r="897" spans="1:43" ht="14.25" x14ac:dyDescent="0.2">
      <c r="A897" s="31"/>
      <c r="B897" s="31"/>
      <c r="C897" s="31" t="s">
        <v>42</v>
      </c>
      <c r="D897" s="32" t="s">
        <v>43</v>
      </c>
      <c r="E897" s="4">
        <f>[1]Source!AQ771</f>
        <v>3.81</v>
      </c>
      <c r="F897" s="33"/>
      <c r="G897" s="34" t="str">
        <f>[1]Source!DI771</f>
        <v>*1*168</v>
      </c>
      <c r="H897" s="4">
        <f>[1]Source!AV771</f>
        <v>1</v>
      </c>
      <c r="I897" s="4"/>
      <c r="J897" s="33"/>
      <c r="K897" s="33">
        <f>[1]Source!U771</f>
        <v>3656.392992</v>
      </c>
      <c r="M897"/>
      <c r="N897"/>
      <c r="O897"/>
      <c r="P897"/>
      <c r="Q897"/>
    </row>
    <row r="898" spans="1:43" ht="15" x14ac:dyDescent="0.25">
      <c r="A898" s="35"/>
      <c r="B898" s="35"/>
      <c r="C898" s="35"/>
      <c r="D898" s="35"/>
      <c r="E898" s="35"/>
      <c r="F898" s="35"/>
      <c r="G898" s="35"/>
      <c r="H898" s="35"/>
      <c r="I898" s="36">
        <f>J894+J895+J896</f>
        <v>1631747.4399999997</v>
      </c>
      <c r="J898" s="36"/>
      <c r="K898" s="37">
        <f>IF([1]Source!I771&lt;&gt;0, ROUND(I898/[1]Source!I771, 2), 0)</f>
        <v>285650.07</v>
      </c>
      <c r="M898"/>
      <c r="N898"/>
      <c r="O898"/>
      <c r="P898"/>
      <c r="Q898"/>
      <c r="AA898" s="38">
        <f>I898</f>
        <v>1631747.4399999997</v>
      </c>
    </row>
    <row r="899" spans="1:43" ht="28.5" x14ac:dyDescent="0.2">
      <c r="A899" s="31">
        <v>128</v>
      </c>
      <c r="B899" s="31" t="str">
        <f>[1]Source!F772</f>
        <v>5.4-1201-1-1/1</v>
      </c>
      <c r="C899" s="31" t="str">
        <f>[1]Source!G772</f>
        <v>Сбор случайного мусора по территории</v>
      </c>
      <c r="D899" s="32" t="str">
        <f>[1]Source!H772</f>
        <v>100 м2</v>
      </c>
      <c r="E899" s="4">
        <f>[1]Source!I772</f>
        <v>6.1368999999999998</v>
      </c>
      <c r="F899" s="33"/>
      <c r="G899" s="34"/>
      <c r="H899" s="4"/>
      <c r="I899" s="4"/>
      <c r="J899" s="33"/>
      <c r="K899" s="33"/>
      <c r="M899"/>
      <c r="N899"/>
      <c r="O899"/>
      <c r="P899"/>
      <c r="Q899"/>
      <c r="AB899">
        <f>ROUND(([1]Source!BZ772/100)*ROUND(([1]Source!AF772*[1]Source!AV772)*[1]Source!I772, 2), 2)</f>
        <v>70740.289999999994</v>
      </c>
      <c r="AC899">
        <f>[1]Source!X772</f>
        <v>70740.289999999994</v>
      </c>
      <c r="AD899">
        <f>ROUND(([1]Source!CA772/100)*ROUND(([1]Source!AF772*[1]Source!AV772)*[1]Source!I772, 2), 2)</f>
        <v>10105.76</v>
      </c>
      <c r="AE899">
        <f>[1]Source!Y772</f>
        <v>10105.76</v>
      </c>
      <c r="AF899">
        <f>ROUND((175/100)*ROUND(([1]Source!AE772*[1]Source!AV772)*[1]Source!I772, 2), 2)</f>
        <v>0</v>
      </c>
      <c r="AG899">
        <f>ROUND((108/100)*ROUND([1]Source!CS772*[1]Source!I772, 2), 2)</f>
        <v>0</v>
      </c>
    </row>
    <row r="900" spans="1:43" x14ac:dyDescent="0.2">
      <c r="C900" s="40" t="str">
        <f>"Объем: "&amp;[1]Source!I772&amp;"=613,69/"&amp;"100"</f>
        <v>Объем: 6,1369=613,69/100</v>
      </c>
      <c r="M900"/>
      <c r="N900"/>
      <c r="O900"/>
      <c r="P900"/>
      <c r="Q900"/>
    </row>
    <row r="901" spans="1:43" ht="14.25" x14ac:dyDescent="0.2">
      <c r="A901" s="31"/>
      <c r="B901" s="31"/>
      <c r="C901" s="31" t="s">
        <v>34</v>
      </c>
      <c r="D901" s="32"/>
      <c r="E901" s="4"/>
      <c r="F901" s="33">
        <f>[1]Source!AO772</f>
        <v>12.4</v>
      </c>
      <c r="G901" s="34" t="str">
        <f>[1]Source!DG772</f>
        <v>)*4*332</v>
      </c>
      <c r="H901" s="4">
        <f>[1]Source!AV772</f>
        <v>1</v>
      </c>
      <c r="I901" s="4">
        <f>IF([1]Source!BA772&lt;&gt; 0, [1]Source!BA772, 1)</f>
        <v>1</v>
      </c>
      <c r="J901" s="33">
        <f>[1]Source!S772</f>
        <v>101057.56</v>
      </c>
      <c r="K901" s="33"/>
      <c r="M901"/>
      <c r="N901"/>
      <c r="O901"/>
      <c r="P901"/>
      <c r="Q901"/>
    </row>
    <row r="902" spans="1:43" ht="14.25" x14ac:dyDescent="0.2">
      <c r="A902" s="31"/>
      <c r="B902" s="31"/>
      <c r="C902" s="31" t="s">
        <v>47</v>
      </c>
      <c r="D902" s="32"/>
      <c r="E902" s="4"/>
      <c r="F902" s="33">
        <f>[1]Source!AL772</f>
        <v>0.69</v>
      </c>
      <c r="G902" s="34" t="str">
        <f>[1]Source!DD772</f>
        <v>)*4*332</v>
      </c>
      <c r="H902" s="4">
        <f>[1]Source!AW772</f>
        <v>1</v>
      </c>
      <c r="I902" s="4">
        <f>IF([1]Source!BC772&lt;&gt; 0, [1]Source!BC772, 1)</f>
        <v>1</v>
      </c>
      <c r="J902" s="33">
        <f>[1]Source!P772</f>
        <v>5623.36</v>
      </c>
      <c r="K902" s="33"/>
      <c r="M902"/>
      <c r="N902"/>
      <c r="O902"/>
      <c r="P902"/>
      <c r="Q902"/>
    </row>
    <row r="903" spans="1:43" ht="14.25" x14ac:dyDescent="0.2">
      <c r="A903" s="31"/>
      <c r="B903" s="31"/>
      <c r="C903" s="31" t="s">
        <v>40</v>
      </c>
      <c r="D903" s="32" t="s">
        <v>39</v>
      </c>
      <c r="E903" s="4">
        <f>[1]Source!AT772</f>
        <v>70</v>
      </c>
      <c r="F903" s="33"/>
      <c r="G903" s="34"/>
      <c r="H903" s="4"/>
      <c r="I903" s="4"/>
      <c r="J903" s="33">
        <f>SUM(AC899:AC902)</f>
        <v>70740.289999999994</v>
      </c>
      <c r="K903" s="33"/>
      <c r="M903"/>
      <c r="N903"/>
      <c r="O903"/>
      <c r="P903"/>
      <c r="Q903"/>
    </row>
    <row r="904" spans="1:43" ht="14.25" x14ac:dyDescent="0.2">
      <c r="A904" s="31"/>
      <c r="B904" s="31"/>
      <c r="C904" s="31" t="s">
        <v>41</v>
      </c>
      <c r="D904" s="32" t="s">
        <v>39</v>
      </c>
      <c r="E904" s="4">
        <f>[1]Source!AU772</f>
        <v>10</v>
      </c>
      <c r="F904" s="33"/>
      <c r="G904" s="34"/>
      <c r="H904" s="4"/>
      <c r="I904" s="4"/>
      <c r="J904" s="33">
        <f>SUM(AE899:AE903)</f>
        <v>10105.76</v>
      </c>
      <c r="K904" s="33"/>
      <c r="M904"/>
      <c r="N904"/>
      <c r="O904"/>
      <c r="P904"/>
      <c r="Q904"/>
    </row>
    <row r="905" spans="1:43" ht="14.25" x14ac:dyDescent="0.2">
      <c r="A905" s="31"/>
      <c r="B905" s="31"/>
      <c r="C905" s="31" t="s">
        <v>42</v>
      </c>
      <c r="D905" s="32" t="s">
        <v>43</v>
      </c>
      <c r="E905" s="4">
        <f>[1]Source!AQ772</f>
        <v>0.05</v>
      </c>
      <c r="F905" s="33"/>
      <c r="G905" s="34" t="str">
        <f>[1]Source!DI772</f>
        <v>)*4*332</v>
      </c>
      <c r="H905" s="4">
        <f>[1]Source!AV772</f>
        <v>1</v>
      </c>
      <c r="I905" s="4"/>
      <c r="J905" s="33"/>
      <c r="K905" s="33">
        <f>[1]Source!U772</f>
        <v>407.49016</v>
      </c>
      <c r="M905"/>
      <c r="N905"/>
      <c r="O905"/>
      <c r="P905"/>
      <c r="Q905"/>
    </row>
    <row r="906" spans="1:43" ht="15" x14ac:dyDescent="0.25">
      <c r="A906" s="35"/>
      <c r="B906" s="35"/>
      <c r="C906" s="35"/>
      <c r="D906" s="35"/>
      <c r="E906" s="35"/>
      <c r="F906" s="35"/>
      <c r="G906" s="35"/>
      <c r="H906" s="35"/>
      <c r="I906" s="36">
        <f>J901+J902+J903+J904</f>
        <v>187526.97</v>
      </c>
      <c r="J906" s="36"/>
      <c r="K906" s="37">
        <f>IF([1]Source!I772&lt;&gt;0, ROUND(I906/[1]Source!I772, 2), 0)</f>
        <v>30557.279999999999</v>
      </c>
      <c r="M906"/>
      <c r="N906"/>
      <c r="O906"/>
      <c r="P906"/>
      <c r="Q906"/>
      <c r="AA906" s="38">
        <f>I906</f>
        <v>187526.97</v>
      </c>
    </row>
    <row r="907" spans="1:43" x14ac:dyDescent="0.2">
      <c r="M907"/>
      <c r="N907"/>
      <c r="O907"/>
      <c r="P907"/>
      <c r="Q907"/>
    </row>
    <row r="908" spans="1:43" ht="45" x14ac:dyDescent="0.25">
      <c r="A908" s="42" t="str">
        <f>CONCATENATE("Итого по разделу: ",IF([1]Source!G774&lt;&gt;"Новый раздел", [1]Source!G774, ""))</f>
        <v>Итого по разделу: Содержание лавочек, " Большого амфитеатра" и  " Малого амфитеатра, из бруса. ( Sобщая= 613,69 м2,S зимней уборки=571,24м2; в т.ч  S=324,9 м2-лавочки большого амфитеатра, S=246,34 м2-  лавочки малого амфитеатра )</v>
      </c>
      <c r="B908" s="42"/>
      <c r="C908" s="42"/>
      <c r="D908" s="42"/>
      <c r="E908" s="42"/>
      <c r="F908" s="42"/>
      <c r="G908" s="42"/>
      <c r="H908" s="42"/>
      <c r="I908" s="43">
        <f>SUM(AA887:AA907)</f>
        <v>3447605.21</v>
      </c>
      <c r="J908" s="44"/>
      <c r="K908" s="47"/>
      <c r="L908" s="38">
        <f>I908</f>
        <v>3447605.21</v>
      </c>
      <c r="M908" s="2">
        <f>ROUND(I908*$I$4874,2)</f>
        <v>2489884.09</v>
      </c>
      <c r="N908" s="2">
        <f>ROUND(M908*1.2/105*100,2)</f>
        <v>2845581.82</v>
      </c>
      <c r="O908" s="2">
        <f>ROUND(N908*0.05,2)</f>
        <v>142279.09</v>
      </c>
      <c r="P908" s="2">
        <f>N908+O908</f>
        <v>2987860.9099999997</v>
      </c>
      <c r="Q908" s="3">
        <v>31</v>
      </c>
      <c r="R908">
        <v>2</v>
      </c>
      <c r="S908" s="2">
        <v>548762.38</v>
      </c>
      <c r="AQ908" s="46" t="str">
        <f>CONCATENATE("Итого по разделу: ",IF([1]Source!G774&lt;&gt;"Новый раздел", [1]Source!G774, ""))</f>
        <v>Итого по разделу: Содержание лавочек, " Большого амфитеатра" и  " Малого амфитеатра, из бруса. ( Sобщая= 613,69 м2,S зимней уборки=571,24м2; в т.ч  S=324,9 м2-лавочки большого амфитеатра, S=246,34 м2-  лавочки малого амфитеатра )</v>
      </c>
    </row>
    <row r="909" spans="1:43" x14ac:dyDescent="0.2">
      <c r="M909"/>
      <c r="N909"/>
      <c r="O909"/>
      <c r="P909"/>
      <c r="Q909"/>
    </row>
    <row r="910" spans="1:43" x14ac:dyDescent="0.2">
      <c r="M910"/>
      <c r="N910"/>
      <c r="O910"/>
      <c r="P910"/>
      <c r="Q910"/>
    </row>
    <row r="911" spans="1:43" ht="16.5" x14ac:dyDescent="0.25">
      <c r="A911" s="29" t="str">
        <f>CONCATENATE("Раздел: ",IF([1]Source!G804&lt;&gt;"Новый раздел", [1]Source!G804, ""))</f>
        <v>Раздел: Содержание сценической площадки с покрытием террасной  доской ( S= 545 м2 ).</v>
      </c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M911"/>
      <c r="N911"/>
      <c r="O911"/>
      <c r="P911"/>
      <c r="Q911"/>
    </row>
    <row r="912" spans="1:43" ht="14.25" x14ac:dyDescent="0.2">
      <c r="A912" s="31">
        <v>129</v>
      </c>
      <c r="B912" s="31" t="str">
        <f>[1]Source!F808</f>
        <v>калькуляция</v>
      </c>
      <c r="C912" s="31" t="str">
        <f>[1]Source!G808</f>
        <v>Подметание площадки вручную</v>
      </c>
      <c r="D912" s="32" t="str">
        <f>[1]Source!H808</f>
        <v>м2</v>
      </c>
      <c r="E912" s="4">
        <f>[1]Source!I808</f>
        <v>545</v>
      </c>
      <c r="F912" s="33"/>
      <c r="G912" s="34"/>
      <c r="H912" s="4"/>
      <c r="I912" s="4"/>
      <c r="J912" s="33"/>
      <c r="K912" s="33"/>
      <c r="M912"/>
      <c r="N912"/>
      <c r="O912"/>
      <c r="P912"/>
      <c r="Q912"/>
      <c r="AB912">
        <f>ROUND(([1]Source!BZ808/100)*ROUND(([1]Source!AF808*[1]Source!AV808)*[1]Source!I808, 2), 2)</f>
        <v>0</v>
      </c>
      <c r="AC912">
        <f>[1]Source!X808</f>
        <v>0</v>
      </c>
      <c r="AD912">
        <f>ROUND(([1]Source!CA808/100)*ROUND(([1]Source!AF808*[1]Source!AV808)*[1]Source!I808, 2), 2)</f>
        <v>0</v>
      </c>
      <c r="AE912">
        <f>[1]Source!Y808</f>
        <v>0</v>
      </c>
      <c r="AF912">
        <f>ROUND((175/100)*ROUND(([1]Source!AE808*[1]Source!AV808)*[1]Source!I808, 2), 2)</f>
        <v>0</v>
      </c>
      <c r="AG912">
        <f>ROUND((108/100)*ROUND([1]Source!CS808*[1]Source!I808, 2), 2)</f>
        <v>0</v>
      </c>
    </row>
    <row r="913" spans="1:33" ht="14.25" x14ac:dyDescent="0.2">
      <c r="A913" s="31"/>
      <c r="B913" s="31"/>
      <c r="C913" s="31" t="s">
        <v>34</v>
      </c>
      <c r="D913" s="32"/>
      <c r="E913" s="4"/>
      <c r="F913" s="33">
        <f>[1]Source!AO808</f>
        <v>3.78</v>
      </c>
      <c r="G913" s="34" t="str">
        <f>[1]Source!DG808</f>
        <v>*4*164</v>
      </c>
      <c r="H913" s="4">
        <f>[1]Source!AV808</f>
        <v>1</v>
      </c>
      <c r="I913" s="4">
        <f>IF([1]Source!BA808&lt;&gt; 0, [1]Source!BA808, 1)</f>
        <v>1</v>
      </c>
      <c r="J913" s="33">
        <f>[1]Source!S808</f>
        <v>1351425.6</v>
      </c>
      <c r="K913" s="33"/>
      <c r="M913"/>
      <c r="N913"/>
      <c r="O913"/>
      <c r="P913"/>
      <c r="Q913"/>
    </row>
    <row r="914" spans="1:33" ht="15" x14ac:dyDescent="0.25">
      <c r="A914" s="35"/>
      <c r="B914" s="35"/>
      <c r="C914" s="35"/>
      <c r="D914" s="35"/>
      <c r="E914" s="35"/>
      <c r="F914" s="35"/>
      <c r="G914" s="35"/>
      <c r="H914" s="35"/>
      <c r="I914" s="36">
        <f>J913</f>
        <v>1351425.6</v>
      </c>
      <c r="J914" s="36"/>
      <c r="K914" s="37">
        <f>IF([1]Source!I808&lt;&gt;0, ROUND(I914/[1]Source!I808, 2), 0)</f>
        <v>2479.6799999999998</v>
      </c>
      <c r="M914"/>
      <c r="N914"/>
      <c r="O914"/>
      <c r="P914"/>
      <c r="Q914"/>
      <c r="AA914" s="38">
        <f>I914</f>
        <v>1351425.6</v>
      </c>
    </row>
    <row r="915" spans="1:33" ht="57" x14ac:dyDescent="0.2">
      <c r="A915" s="31">
        <v>130</v>
      </c>
      <c r="B915" s="31" t="str">
        <f>[1]Source!F809</f>
        <v>5.3-1102-23-1/1</v>
      </c>
      <c r="C915" s="31" t="str">
        <f>[1]Source!G809</f>
        <v>Уборка от снега деревянного настила - амфитеатра, тротуаров, лестниц, экотроп ( S= 545 м2 )</v>
      </c>
      <c r="D915" s="32" t="str">
        <f>[1]Source!H809</f>
        <v>100 м2 горизонтальной проекции</v>
      </c>
      <c r="E915" s="4">
        <f>[1]Source!I809</f>
        <v>5.45</v>
      </c>
      <c r="F915" s="33"/>
      <c r="G915" s="34"/>
      <c r="H915" s="4"/>
      <c r="I915" s="4"/>
      <c r="J915" s="33"/>
      <c r="K915" s="33"/>
      <c r="M915"/>
      <c r="N915"/>
      <c r="O915"/>
      <c r="P915"/>
      <c r="Q915"/>
      <c r="AB915">
        <f>ROUND(([1]Source!BZ809/100)*ROUND(([1]Source!AF809*[1]Source!AV809)*[1]Source!I809, 2), 2)</f>
        <v>2421677.7599999998</v>
      </c>
      <c r="AC915">
        <f>[1]Source!X809</f>
        <v>2421677.7599999998</v>
      </c>
      <c r="AD915">
        <f>ROUND(([1]Source!CA809/100)*ROUND(([1]Source!AF809*[1]Source!AV809)*[1]Source!I809, 2), 2)</f>
        <v>345953.97</v>
      </c>
      <c r="AE915">
        <f>[1]Source!Y809</f>
        <v>345953.97</v>
      </c>
      <c r="AF915">
        <f>ROUND((175/100)*ROUND(([1]Source!AE809*[1]Source!AV809)*[1]Source!I809, 2), 2)</f>
        <v>0</v>
      </c>
      <c r="AG915">
        <f>ROUND((108/100)*ROUND([1]Source!CS809*[1]Source!I809, 2), 2)</f>
        <v>0</v>
      </c>
    </row>
    <row r="916" spans="1:33" x14ac:dyDescent="0.2">
      <c r="C916" s="40" t="str">
        <f>"Объем: "&amp;[1]Source!I809&amp;"=545/"&amp;"100"</f>
        <v>Объем: 5,45=545/100</v>
      </c>
      <c r="M916"/>
      <c r="N916"/>
      <c r="O916"/>
      <c r="P916"/>
      <c r="Q916"/>
    </row>
    <row r="917" spans="1:33" ht="14.25" x14ac:dyDescent="0.2">
      <c r="A917" s="31"/>
      <c r="B917" s="31"/>
      <c r="C917" s="31" t="s">
        <v>34</v>
      </c>
      <c r="D917" s="32"/>
      <c r="E917" s="4"/>
      <c r="F917" s="33">
        <f>[1]Source!AO809</f>
        <v>944.61</v>
      </c>
      <c r="G917" s="34" t="str">
        <f>[1]Source!DG809</f>
        <v>*4*168</v>
      </c>
      <c r="H917" s="4">
        <f>[1]Source!AV809</f>
        <v>1</v>
      </c>
      <c r="I917" s="4">
        <f>IF([1]Source!BA809&lt;&gt; 0, [1]Source!BA809, 1)</f>
        <v>1</v>
      </c>
      <c r="J917" s="33">
        <f>[1]Source!S809</f>
        <v>3459539.66</v>
      </c>
      <c r="K917" s="33"/>
      <c r="M917"/>
      <c r="N917"/>
      <c r="O917"/>
      <c r="P917"/>
      <c r="Q917"/>
    </row>
    <row r="918" spans="1:33" ht="14.25" x14ac:dyDescent="0.2">
      <c r="A918" s="31"/>
      <c r="B918" s="31"/>
      <c r="C918" s="31" t="s">
        <v>40</v>
      </c>
      <c r="D918" s="32" t="s">
        <v>39</v>
      </c>
      <c r="E918" s="4">
        <f>[1]Source!AT809</f>
        <v>70</v>
      </c>
      <c r="F918" s="33"/>
      <c r="G918" s="34"/>
      <c r="H918" s="4"/>
      <c r="I918" s="4"/>
      <c r="J918" s="33">
        <f>SUM(AC915:AC917)</f>
        <v>2421677.7599999998</v>
      </c>
      <c r="K918" s="33"/>
      <c r="M918"/>
      <c r="N918"/>
      <c r="O918"/>
      <c r="P918"/>
      <c r="Q918"/>
    </row>
    <row r="919" spans="1:33" ht="14.25" x14ac:dyDescent="0.2">
      <c r="A919" s="31"/>
      <c r="B919" s="31"/>
      <c r="C919" s="31" t="s">
        <v>41</v>
      </c>
      <c r="D919" s="32" t="s">
        <v>39</v>
      </c>
      <c r="E919" s="4">
        <f>[1]Source!AU809</f>
        <v>10</v>
      </c>
      <c r="F919" s="33"/>
      <c r="G919" s="34"/>
      <c r="H919" s="4"/>
      <c r="I919" s="4"/>
      <c r="J919" s="33">
        <f>SUM(AE915:AE918)</f>
        <v>345953.97</v>
      </c>
      <c r="K919" s="33"/>
      <c r="M919"/>
      <c r="N919"/>
      <c r="O919"/>
      <c r="P919"/>
      <c r="Q919"/>
    </row>
    <row r="920" spans="1:33" ht="14.25" x14ac:dyDescent="0.2">
      <c r="A920" s="31"/>
      <c r="B920" s="31"/>
      <c r="C920" s="31" t="s">
        <v>42</v>
      </c>
      <c r="D920" s="32" t="s">
        <v>43</v>
      </c>
      <c r="E920" s="4">
        <f>[1]Source!AQ809</f>
        <v>3.81</v>
      </c>
      <c r="F920" s="33"/>
      <c r="G920" s="34" t="str">
        <f>[1]Source!DI809</f>
        <v>*4*168</v>
      </c>
      <c r="H920" s="4">
        <f>[1]Source!AV809</f>
        <v>1</v>
      </c>
      <c r="I920" s="4"/>
      <c r="J920" s="33"/>
      <c r="K920" s="33">
        <f>[1]Source!U809</f>
        <v>13953.744000000001</v>
      </c>
      <c r="M920"/>
      <c r="N920"/>
      <c r="O920"/>
      <c r="P920"/>
      <c r="Q920"/>
    </row>
    <row r="921" spans="1:33" ht="15" x14ac:dyDescent="0.25">
      <c r="A921" s="35"/>
      <c r="B921" s="35"/>
      <c r="C921" s="35"/>
      <c r="D921" s="35"/>
      <c r="E921" s="35"/>
      <c r="F921" s="35"/>
      <c r="G921" s="35"/>
      <c r="H921" s="35"/>
      <c r="I921" s="36">
        <f>J917+J918+J919</f>
        <v>6227171.3899999997</v>
      </c>
      <c r="J921" s="36"/>
      <c r="K921" s="37">
        <f>IF([1]Source!I809&lt;&gt;0, ROUND(I921/[1]Source!I809, 2), 0)</f>
        <v>1142600.26</v>
      </c>
      <c r="M921"/>
      <c r="N921"/>
      <c r="O921"/>
      <c r="P921"/>
      <c r="Q921"/>
      <c r="AA921" s="38">
        <f>I921</f>
        <v>6227171.3899999997</v>
      </c>
    </row>
    <row r="922" spans="1:33" ht="28.5" x14ac:dyDescent="0.2">
      <c r="A922" s="31">
        <v>131</v>
      </c>
      <c r="B922" s="31" t="str">
        <f>[1]Source!F810</f>
        <v>5.3-1102-8-3/1</v>
      </c>
      <c r="C922" s="31" t="str">
        <f>[1]Source!G810</f>
        <v>Уборка слежавшегося снега вручную ( S=545 м2*0,1=54,5 м2 )</v>
      </c>
      <c r="D922" s="32" t="str">
        <f>[1]Source!H810</f>
        <v>100 м2</v>
      </c>
      <c r="E922" s="4">
        <f>[1]Source!I810</f>
        <v>0.54500000000000004</v>
      </c>
      <c r="F922" s="33"/>
      <c r="G922" s="34"/>
      <c r="H922" s="4"/>
      <c r="I922" s="4"/>
      <c r="J922" s="33"/>
      <c r="K922" s="33"/>
      <c r="M922"/>
      <c r="N922"/>
      <c r="O922"/>
      <c r="P922"/>
      <c r="Q922"/>
      <c r="AB922">
        <f>ROUND(([1]Source!BZ810/100)*ROUND(([1]Source!AF810*[1]Source!AV810)*[1]Source!I810, 2), 2)</f>
        <v>24312.02</v>
      </c>
      <c r="AC922">
        <f>[1]Source!X810</f>
        <v>24312.02</v>
      </c>
      <c r="AD922">
        <f>ROUND(([1]Source!CA810/100)*ROUND(([1]Source!AF810*[1]Source!AV810)*[1]Source!I810, 2), 2)</f>
        <v>3473.15</v>
      </c>
      <c r="AE922">
        <f>[1]Source!Y810</f>
        <v>3473.15</v>
      </c>
      <c r="AF922">
        <f>ROUND((175/100)*ROUND(([1]Source!AE810*[1]Source!AV810)*[1]Source!I810, 2), 2)</f>
        <v>0</v>
      </c>
      <c r="AG922">
        <f>ROUND((108/100)*ROUND([1]Source!CS810*[1]Source!I810, 2), 2)</f>
        <v>0</v>
      </c>
    </row>
    <row r="923" spans="1:33" x14ac:dyDescent="0.2">
      <c r="C923" s="40" t="str">
        <f>"Объем: "&amp;[1]Source!I810&amp;"=54,5/"&amp;"100"</f>
        <v>Объем: 0,545=54,5/100</v>
      </c>
      <c r="M923"/>
      <c r="N923"/>
      <c r="O923"/>
      <c r="P923"/>
      <c r="Q923"/>
    </row>
    <row r="924" spans="1:33" ht="14.25" x14ac:dyDescent="0.2">
      <c r="A924" s="31"/>
      <c r="B924" s="31"/>
      <c r="C924" s="31" t="s">
        <v>34</v>
      </c>
      <c r="D924" s="32"/>
      <c r="E924" s="4"/>
      <c r="F924" s="33">
        <f>[1]Source!AO810</f>
        <v>379.33</v>
      </c>
      <c r="G924" s="34" t="str">
        <f>[1]Source!DG810</f>
        <v>)*1*168</v>
      </c>
      <c r="H924" s="4">
        <f>[1]Source!AV810</f>
        <v>1</v>
      </c>
      <c r="I924" s="4">
        <f>IF([1]Source!BA810&lt;&gt; 0, [1]Source!BA810, 1)</f>
        <v>1</v>
      </c>
      <c r="J924" s="33">
        <f>[1]Source!S810</f>
        <v>34731.449999999997</v>
      </c>
      <c r="K924" s="33"/>
      <c r="M924"/>
      <c r="N924"/>
      <c r="O924"/>
      <c r="P924"/>
      <c r="Q924"/>
    </row>
    <row r="925" spans="1:33" ht="14.25" x14ac:dyDescent="0.2">
      <c r="A925" s="31"/>
      <c r="B925" s="31"/>
      <c r="C925" s="31" t="s">
        <v>40</v>
      </c>
      <c r="D925" s="32" t="s">
        <v>39</v>
      </c>
      <c r="E925" s="4">
        <f>[1]Source!AT810</f>
        <v>70</v>
      </c>
      <c r="F925" s="33"/>
      <c r="G925" s="34"/>
      <c r="H925" s="4"/>
      <c r="I925" s="4"/>
      <c r="J925" s="33">
        <f>SUM(AC922:AC924)</f>
        <v>24312.02</v>
      </c>
      <c r="K925" s="33"/>
      <c r="M925"/>
      <c r="N925"/>
      <c r="O925"/>
      <c r="P925"/>
      <c r="Q925"/>
    </row>
    <row r="926" spans="1:33" ht="14.25" x14ac:dyDescent="0.2">
      <c r="A926" s="31"/>
      <c r="B926" s="31"/>
      <c r="C926" s="31" t="s">
        <v>41</v>
      </c>
      <c r="D926" s="32" t="s">
        <v>39</v>
      </c>
      <c r="E926" s="4">
        <f>[1]Source!AU810</f>
        <v>10</v>
      </c>
      <c r="F926" s="33"/>
      <c r="G926" s="34"/>
      <c r="H926" s="4"/>
      <c r="I926" s="4"/>
      <c r="J926" s="33">
        <f>SUM(AE922:AE925)</f>
        <v>3473.15</v>
      </c>
      <c r="K926" s="33"/>
      <c r="M926"/>
      <c r="N926"/>
      <c r="O926"/>
      <c r="P926"/>
      <c r="Q926"/>
    </row>
    <row r="927" spans="1:33" ht="14.25" x14ac:dyDescent="0.2">
      <c r="A927" s="31"/>
      <c r="B927" s="31"/>
      <c r="C927" s="31" t="s">
        <v>42</v>
      </c>
      <c r="D927" s="32" t="s">
        <v>43</v>
      </c>
      <c r="E927" s="4">
        <f>[1]Source!AQ810</f>
        <v>1.53</v>
      </c>
      <c r="F927" s="33"/>
      <c r="G927" s="34" t="str">
        <f>[1]Source!DI810</f>
        <v>)*1*168</v>
      </c>
      <c r="H927" s="4">
        <f>[1]Source!AV810</f>
        <v>1</v>
      </c>
      <c r="I927" s="4"/>
      <c r="J927" s="33"/>
      <c r="K927" s="33">
        <f>[1]Source!U810</f>
        <v>140.08680000000001</v>
      </c>
      <c r="M927"/>
      <c r="N927"/>
      <c r="O927"/>
      <c r="P927"/>
      <c r="Q927"/>
    </row>
    <row r="928" spans="1:33" ht="15" x14ac:dyDescent="0.25">
      <c r="A928" s="35"/>
      <c r="B928" s="35"/>
      <c r="C928" s="35"/>
      <c r="D928" s="35"/>
      <c r="E928" s="35"/>
      <c r="F928" s="35"/>
      <c r="G928" s="35"/>
      <c r="H928" s="35"/>
      <c r="I928" s="36">
        <f>J924+J925+J926</f>
        <v>62516.62</v>
      </c>
      <c r="J928" s="36"/>
      <c r="K928" s="37">
        <f>IF([1]Source!I810&lt;&gt;0, ROUND(I928/[1]Source!I810, 2), 0)</f>
        <v>114709.39</v>
      </c>
      <c r="M928"/>
      <c r="N928"/>
      <c r="O928"/>
      <c r="P928"/>
      <c r="Q928"/>
      <c r="AA928" s="38">
        <f>I928</f>
        <v>62516.62</v>
      </c>
    </row>
    <row r="929" spans="1:43" ht="28.5" x14ac:dyDescent="0.2">
      <c r="A929" s="31">
        <v>132</v>
      </c>
      <c r="B929" s="31" t="str">
        <f>[1]Source!F811</f>
        <v>калькуляция</v>
      </c>
      <c r="C929" s="31" t="str">
        <f>[1]Source!G811</f>
        <v>Посыпка гранитной крошкой  дорожных покрытий вручную( 100г/м2 )</v>
      </c>
      <c r="D929" s="32" t="str">
        <f>[1]Source!H811</f>
        <v>м2</v>
      </c>
      <c r="E929" s="4">
        <f>[1]Source!I811</f>
        <v>545</v>
      </c>
      <c r="F929" s="33"/>
      <c r="G929" s="34"/>
      <c r="H929" s="4"/>
      <c r="I929" s="4"/>
      <c r="J929" s="33"/>
      <c r="K929" s="33"/>
      <c r="M929"/>
      <c r="N929"/>
      <c r="O929"/>
      <c r="P929"/>
      <c r="Q929"/>
      <c r="AB929">
        <f>ROUND(([1]Source!BZ811/100)*ROUND(([1]Source!AF811*[1]Source!AV811)*[1]Source!I811, 2), 2)</f>
        <v>0</v>
      </c>
      <c r="AC929">
        <f>[1]Source!X811</f>
        <v>0</v>
      </c>
      <c r="AD929">
        <f>ROUND(([1]Source!CA811/100)*ROUND(([1]Source!AF811*[1]Source!AV811)*[1]Source!I811, 2), 2)</f>
        <v>0</v>
      </c>
      <c r="AE929">
        <f>[1]Source!Y811</f>
        <v>0</v>
      </c>
      <c r="AF929">
        <f>ROUND((175/100)*ROUND(([1]Source!AE811*[1]Source!AV811)*[1]Source!I811, 2), 2)</f>
        <v>0</v>
      </c>
      <c r="AG929">
        <f>ROUND((108/100)*ROUND([1]Source!CS811*[1]Source!I811, 2), 2)</f>
        <v>0</v>
      </c>
    </row>
    <row r="930" spans="1:43" ht="14.25" x14ac:dyDescent="0.2">
      <c r="A930" s="31"/>
      <c r="B930" s="31"/>
      <c r="C930" s="31" t="s">
        <v>34</v>
      </c>
      <c r="D930" s="32"/>
      <c r="E930" s="4"/>
      <c r="F930" s="33">
        <f>[1]Source!AO811</f>
        <v>2.08</v>
      </c>
      <c r="G930" s="34" t="str">
        <f>[1]Source!DG811</f>
        <v>*4*168</v>
      </c>
      <c r="H930" s="4">
        <f>[1]Source!AV811</f>
        <v>1</v>
      </c>
      <c r="I930" s="4">
        <f>IF([1]Source!BA811&lt;&gt; 0, [1]Source!BA811, 1)</f>
        <v>1</v>
      </c>
      <c r="J930" s="33">
        <f>[1]Source!S811</f>
        <v>761779.19999999995</v>
      </c>
      <c r="K930" s="33"/>
      <c r="M930"/>
      <c r="N930"/>
      <c r="O930"/>
      <c r="P930"/>
      <c r="Q930"/>
    </row>
    <row r="931" spans="1:43" ht="14.25" x14ac:dyDescent="0.2">
      <c r="A931" s="31" t="s">
        <v>72</v>
      </c>
      <c r="B931" s="31" t="str">
        <f>[1]Source!F812</f>
        <v>цена поставщика</v>
      </c>
      <c r="C931" s="31" t="str">
        <f>[1]Source!G812</f>
        <v>Крошка гранитная</v>
      </c>
      <c r="D931" s="32" t="str">
        <f>[1]Source!H812</f>
        <v>кг</v>
      </c>
      <c r="E931" s="4">
        <f>[1]Source!I812</f>
        <v>36624</v>
      </c>
      <c r="F931" s="33">
        <f>[1]Source!AK812</f>
        <v>4.43</v>
      </c>
      <c r="G931" s="39" t="s">
        <v>68</v>
      </c>
      <c r="H931" s="4">
        <f>[1]Source!AW812</f>
        <v>1</v>
      </c>
      <c r="I931" s="4">
        <f>IF([1]Source!BC812&lt;&gt; 0, [1]Source!BC812, 1)</f>
        <v>1</v>
      </c>
      <c r="J931" s="33">
        <f>[1]Source!O812</f>
        <v>162244.32</v>
      </c>
      <c r="K931" s="33"/>
      <c r="M931"/>
      <c r="N931"/>
      <c r="O931"/>
      <c r="P931"/>
      <c r="Q931"/>
      <c r="AB931">
        <f>ROUND(([1]Source!BZ812/100)*ROUND(([1]Source!AF812*[1]Source!AV812)*[1]Source!I812, 2), 2)</f>
        <v>0</v>
      </c>
      <c r="AC931">
        <f>[1]Source!X812</f>
        <v>0</v>
      </c>
      <c r="AD931">
        <f>ROUND(([1]Source!CA812/100)*ROUND(([1]Source!AF812*[1]Source!AV812)*[1]Source!I812, 2), 2)</f>
        <v>0</v>
      </c>
      <c r="AE931">
        <f>[1]Source!Y812</f>
        <v>0</v>
      </c>
      <c r="AF931">
        <f>ROUND((175/100)*ROUND(([1]Source!AE812*[1]Source!AV812)*[1]Source!I812, 2), 2)</f>
        <v>0</v>
      </c>
      <c r="AG931">
        <f>ROUND((108/100)*ROUND([1]Source!CS812*[1]Source!I812, 2), 2)</f>
        <v>0</v>
      </c>
    </row>
    <row r="932" spans="1:43" ht="15" x14ac:dyDescent="0.25">
      <c r="A932" s="35"/>
      <c r="B932" s="35"/>
      <c r="C932" s="35"/>
      <c r="D932" s="35"/>
      <c r="E932" s="35"/>
      <c r="F932" s="35"/>
      <c r="G932" s="35"/>
      <c r="H932" s="35"/>
      <c r="I932" s="36">
        <f>J930+SUM(J931:J931)</f>
        <v>924023.52</v>
      </c>
      <c r="J932" s="36"/>
      <c r="K932" s="37">
        <f>IF([1]Source!I811&lt;&gt;0, ROUND(I932/[1]Source!I811, 2), 0)</f>
        <v>1695.46</v>
      </c>
      <c r="M932"/>
      <c r="N932"/>
      <c r="O932"/>
      <c r="P932"/>
      <c r="Q932"/>
      <c r="AA932" s="38">
        <f>I932</f>
        <v>924023.52</v>
      </c>
    </row>
    <row r="933" spans="1:43" ht="28.5" x14ac:dyDescent="0.2">
      <c r="A933" s="31">
        <v>133</v>
      </c>
      <c r="B933" s="31" t="str">
        <f>[1]Source!F813</f>
        <v>5.4-1201-1-1/1</v>
      </c>
      <c r="C933" s="31" t="str">
        <f>[1]Source!G813</f>
        <v>Сбор случайного мусора по территории</v>
      </c>
      <c r="D933" s="32" t="str">
        <f>[1]Source!H813</f>
        <v>100 м2</v>
      </c>
      <c r="E933" s="4">
        <f>[1]Source!I813</f>
        <v>5.45</v>
      </c>
      <c r="F933" s="33"/>
      <c r="G933" s="34"/>
      <c r="H933" s="4"/>
      <c r="I933" s="4"/>
      <c r="J933" s="33"/>
      <c r="K933" s="33"/>
      <c r="M933"/>
      <c r="N933"/>
      <c r="O933"/>
      <c r="P933"/>
      <c r="Q933"/>
      <c r="AB933">
        <f>ROUND(([1]Source!BZ813/100)*ROUND(([1]Source!AF813*[1]Source!AV813)*[1]Source!I813, 2), 2)</f>
        <v>62822.37</v>
      </c>
      <c r="AC933">
        <f>[1]Source!X813</f>
        <v>62822.37</v>
      </c>
      <c r="AD933">
        <f>ROUND(([1]Source!CA813/100)*ROUND(([1]Source!AF813*[1]Source!AV813)*[1]Source!I813, 2), 2)</f>
        <v>8974.6200000000008</v>
      </c>
      <c r="AE933">
        <f>[1]Source!Y813</f>
        <v>8974.6200000000008</v>
      </c>
      <c r="AF933">
        <f>ROUND((175/100)*ROUND(([1]Source!AE813*[1]Source!AV813)*[1]Source!I813, 2), 2)</f>
        <v>0</v>
      </c>
      <c r="AG933">
        <f>ROUND((108/100)*ROUND([1]Source!CS813*[1]Source!I813, 2), 2)</f>
        <v>0</v>
      </c>
    </row>
    <row r="934" spans="1:43" x14ac:dyDescent="0.2">
      <c r="C934" s="40" t="str">
        <f>"Объем: "&amp;[1]Source!I813&amp;"=545/"&amp;"100"</f>
        <v>Объем: 5,45=545/100</v>
      </c>
      <c r="M934"/>
      <c r="N934"/>
      <c r="O934"/>
      <c r="P934"/>
      <c r="Q934"/>
    </row>
    <row r="935" spans="1:43" ht="14.25" x14ac:dyDescent="0.2">
      <c r="A935" s="31"/>
      <c r="B935" s="31"/>
      <c r="C935" s="31" t="s">
        <v>34</v>
      </c>
      <c r="D935" s="32"/>
      <c r="E935" s="4"/>
      <c r="F935" s="33">
        <f>[1]Source!AO813</f>
        <v>12.4</v>
      </c>
      <c r="G935" s="34" t="str">
        <f>[1]Source!DG813</f>
        <v>)*4*332</v>
      </c>
      <c r="H935" s="4">
        <f>[1]Source!AV813</f>
        <v>1</v>
      </c>
      <c r="I935" s="4">
        <f>IF([1]Source!BA813&lt;&gt; 0, [1]Source!BA813, 1)</f>
        <v>1</v>
      </c>
      <c r="J935" s="33">
        <f>[1]Source!S813</f>
        <v>89746.240000000005</v>
      </c>
      <c r="K935" s="33"/>
      <c r="M935"/>
      <c r="N935"/>
      <c r="O935"/>
      <c r="P935"/>
      <c r="Q935"/>
    </row>
    <row r="936" spans="1:43" ht="14.25" x14ac:dyDescent="0.2">
      <c r="A936" s="31"/>
      <c r="B936" s="31"/>
      <c r="C936" s="31" t="s">
        <v>47</v>
      </c>
      <c r="D936" s="32"/>
      <c r="E936" s="4"/>
      <c r="F936" s="33">
        <f>[1]Source!AL813</f>
        <v>0.69</v>
      </c>
      <c r="G936" s="34" t="str">
        <f>[1]Source!DD813</f>
        <v>)*4*332</v>
      </c>
      <c r="H936" s="4">
        <f>[1]Source!AW813</f>
        <v>1</v>
      </c>
      <c r="I936" s="4">
        <f>IF([1]Source!BC813&lt;&gt; 0, [1]Source!BC813, 1)</f>
        <v>1</v>
      </c>
      <c r="J936" s="33">
        <f>[1]Source!P813</f>
        <v>4993.9399999999996</v>
      </c>
      <c r="K936" s="33"/>
      <c r="M936"/>
      <c r="N936"/>
      <c r="O936"/>
      <c r="P936"/>
      <c r="Q936"/>
    </row>
    <row r="937" spans="1:43" ht="14.25" x14ac:dyDescent="0.2">
      <c r="A937" s="31"/>
      <c r="B937" s="31"/>
      <c r="C937" s="31" t="s">
        <v>40</v>
      </c>
      <c r="D937" s="32" t="s">
        <v>39</v>
      </c>
      <c r="E937" s="4">
        <f>[1]Source!AT813</f>
        <v>70</v>
      </c>
      <c r="F937" s="33"/>
      <c r="G937" s="34"/>
      <c r="H937" s="4"/>
      <c r="I937" s="4"/>
      <c r="J937" s="33">
        <f>SUM(AC933:AC936)</f>
        <v>62822.37</v>
      </c>
      <c r="K937" s="33"/>
      <c r="M937"/>
      <c r="N937"/>
      <c r="O937"/>
      <c r="P937"/>
      <c r="Q937"/>
    </row>
    <row r="938" spans="1:43" ht="14.25" x14ac:dyDescent="0.2">
      <c r="A938" s="31"/>
      <c r="B938" s="31"/>
      <c r="C938" s="31" t="s">
        <v>41</v>
      </c>
      <c r="D938" s="32" t="s">
        <v>39</v>
      </c>
      <c r="E938" s="4">
        <f>[1]Source!AU813</f>
        <v>10</v>
      </c>
      <c r="F938" s="33"/>
      <c r="G938" s="34"/>
      <c r="H938" s="4"/>
      <c r="I938" s="4"/>
      <c r="J938" s="33">
        <f>SUM(AE933:AE937)</f>
        <v>8974.6200000000008</v>
      </c>
      <c r="K938" s="33"/>
      <c r="M938"/>
      <c r="N938"/>
      <c r="O938"/>
      <c r="P938"/>
      <c r="Q938"/>
    </row>
    <row r="939" spans="1:43" ht="14.25" x14ac:dyDescent="0.2">
      <c r="A939" s="31"/>
      <c r="B939" s="31"/>
      <c r="C939" s="31" t="s">
        <v>42</v>
      </c>
      <c r="D939" s="32" t="s">
        <v>43</v>
      </c>
      <c r="E939" s="4">
        <f>[1]Source!AQ813</f>
        <v>0.05</v>
      </c>
      <c r="F939" s="33"/>
      <c r="G939" s="34" t="str">
        <f>[1]Source!DI813</f>
        <v>)*4*332</v>
      </c>
      <c r="H939" s="4">
        <f>[1]Source!AV813</f>
        <v>1</v>
      </c>
      <c r="I939" s="4"/>
      <c r="J939" s="33"/>
      <c r="K939" s="33">
        <f>[1]Source!U813</f>
        <v>361.88000000000005</v>
      </c>
      <c r="M939"/>
      <c r="N939"/>
      <c r="O939"/>
      <c r="P939"/>
      <c r="Q939"/>
    </row>
    <row r="940" spans="1:43" ht="15" x14ac:dyDescent="0.25">
      <c r="A940" s="35"/>
      <c r="B940" s="35"/>
      <c r="C940" s="35"/>
      <c r="D940" s="35"/>
      <c r="E940" s="35"/>
      <c r="F940" s="35"/>
      <c r="G940" s="35"/>
      <c r="H940" s="35"/>
      <c r="I940" s="36">
        <f>J935+J936+J937+J938</f>
        <v>166537.17000000001</v>
      </c>
      <c r="J940" s="36"/>
      <c r="K940" s="37">
        <f>IF([1]Source!I813&lt;&gt;0, ROUND(I940/[1]Source!I813, 2), 0)</f>
        <v>30557.279999999999</v>
      </c>
      <c r="M940"/>
      <c r="N940"/>
      <c r="O940"/>
      <c r="P940"/>
      <c r="Q940"/>
      <c r="AA940" s="38">
        <f>I940</f>
        <v>166537.17000000001</v>
      </c>
    </row>
    <row r="941" spans="1:43" x14ac:dyDescent="0.2">
      <c r="M941"/>
      <c r="N941"/>
      <c r="O941"/>
      <c r="P941"/>
      <c r="Q941"/>
    </row>
    <row r="942" spans="1:43" ht="15" x14ac:dyDescent="0.25">
      <c r="A942" s="42" t="str">
        <f>CONCATENATE("Итого по разделу: ",IF([1]Source!G815&lt;&gt;"Новый раздел", [1]Source!G815, ""))</f>
        <v>Итого по разделу: Содержание сценической площадки с покрытием террасной  доской ( S= 545 м2 ).</v>
      </c>
      <c r="B942" s="42"/>
      <c r="C942" s="42"/>
      <c r="D942" s="42"/>
      <c r="E942" s="42"/>
      <c r="F942" s="42"/>
      <c r="G942" s="42"/>
      <c r="H942" s="42"/>
      <c r="I942" s="43">
        <f>SUM(AA911:AA941)</f>
        <v>8731674.3000000007</v>
      </c>
      <c r="J942" s="44"/>
      <c r="K942" s="47"/>
      <c r="L942" s="38">
        <f>I942</f>
        <v>8731674.3000000007</v>
      </c>
      <c r="M942" s="2">
        <f>ROUND(I942*$I$4874,2)</f>
        <v>6306074.9699999997</v>
      </c>
      <c r="N942" s="2">
        <f>ROUND(M942*1.2/105*100,2)</f>
        <v>7206942.8200000003</v>
      </c>
      <c r="O942" s="2">
        <f>ROUND(N942*0.05,2)</f>
        <v>360347.14</v>
      </c>
      <c r="P942" s="2">
        <f>N942+O942</f>
        <v>7567289.96</v>
      </c>
      <c r="Q942" s="3">
        <v>32</v>
      </c>
      <c r="R942">
        <v>2</v>
      </c>
      <c r="S942" s="2">
        <v>0</v>
      </c>
      <c r="AQ942" s="46" t="str">
        <f>CONCATENATE("Итого по разделу: ",IF([1]Source!G815&lt;&gt;"Новый раздел", [1]Source!G815, ""))</f>
        <v>Итого по разделу: Содержание сценической площадки с покрытием террасной  доской ( S= 545 м2 ).</v>
      </c>
    </row>
    <row r="943" spans="1:43" x14ac:dyDescent="0.2">
      <c r="M943"/>
      <c r="N943"/>
      <c r="O943"/>
      <c r="P943"/>
      <c r="Q943"/>
    </row>
    <row r="944" spans="1:43" x14ac:dyDescent="0.2">
      <c r="M944"/>
      <c r="N944"/>
      <c r="O944"/>
      <c r="P944"/>
      <c r="Q944"/>
    </row>
    <row r="945" spans="1:43" ht="33" x14ac:dyDescent="0.25">
      <c r="A945" s="29" t="str">
        <f>CONCATENATE("Раздел: ",IF([1]Source!G845&lt;&gt;"Новый раздел", [1]Source!G845, ""))</f>
        <v>Раздел: Содержание покрытия брусом (лавочка ресторана " Восход "-14,87 м2, лавочка кафе " гастрономический  центр - 99,9 м2)</v>
      </c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M945"/>
      <c r="N945"/>
      <c r="O945"/>
      <c r="P945"/>
      <c r="Q945"/>
      <c r="AP945" s="30" t="str">
        <f>CONCATENATE("Раздел: ",IF([1]Source!G845&lt;&gt;"Новый раздел", [1]Source!G845, ""))</f>
        <v>Раздел: Содержание покрытия брусом (лавочка ресторана " Восход "-14,87 м2, лавочка кафе " гастрономический  центр - 99,9 м2)</v>
      </c>
    </row>
    <row r="946" spans="1:43" ht="14.25" x14ac:dyDescent="0.2">
      <c r="A946" s="31">
        <v>134</v>
      </c>
      <c r="B946" s="31" t="str">
        <f>[1]Source!F849</f>
        <v>калькуляция</v>
      </c>
      <c r="C946" s="31" t="str">
        <f>[1]Source!G849</f>
        <v>Протирка лавочек</v>
      </c>
      <c r="D946" s="32" t="str">
        <f>[1]Source!H849</f>
        <v>м2</v>
      </c>
      <c r="E946" s="4">
        <f>[1]Source!I849</f>
        <v>114.77</v>
      </c>
      <c r="F946" s="33"/>
      <c r="G946" s="34"/>
      <c r="H946" s="4"/>
      <c r="I946" s="4"/>
      <c r="J946" s="33"/>
      <c r="K946" s="33"/>
      <c r="M946"/>
      <c r="N946"/>
      <c r="O946"/>
      <c r="P946"/>
      <c r="Q946"/>
      <c r="AB946">
        <f>ROUND(([1]Source!BZ849/100)*ROUND(([1]Source!AF849*[1]Source!AV849)*[1]Source!I849, 2), 2)</f>
        <v>0</v>
      </c>
      <c r="AC946">
        <f>[1]Source!X849</f>
        <v>0</v>
      </c>
      <c r="AD946">
        <f>ROUND(([1]Source!CA849/100)*ROUND(([1]Source!AF849*[1]Source!AV849)*[1]Source!I849, 2), 2)</f>
        <v>0</v>
      </c>
      <c r="AE946">
        <f>[1]Source!Y849</f>
        <v>0</v>
      </c>
      <c r="AF946">
        <f>ROUND((175/100)*ROUND(([1]Source!AE849*[1]Source!AV849)*[1]Source!I849, 2), 2)</f>
        <v>0</v>
      </c>
      <c r="AG946">
        <f>ROUND((108/100)*ROUND([1]Source!CS849*[1]Source!I849, 2), 2)</f>
        <v>0</v>
      </c>
    </row>
    <row r="947" spans="1:43" ht="14.25" x14ac:dyDescent="0.2">
      <c r="A947" s="31"/>
      <c r="B947" s="31"/>
      <c r="C947" s="31" t="s">
        <v>34</v>
      </c>
      <c r="D947" s="32"/>
      <c r="E947" s="4"/>
      <c r="F947" s="33">
        <f>[1]Source!AO849</f>
        <v>8.0500000000000007</v>
      </c>
      <c r="G947" s="34" t="str">
        <f>[1]Source!DG849</f>
        <v>*2*164</v>
      </c>
      <c r="H947" s="4">
        <f>[1]Source!AV849</f>
        <v>1</v>
      </c>
      <c r="I947" s="4">
        <f>IF([1]Source!BA849&lt;&gt; 0, [1]Source!BA849, 1)</f>
        <v>1</v>
      </c>
      <c r="J947" s="33">
        <f>[1]Source!S849</f>
        <v>303038.71000000002</v>
      </c>
      <c r="K947" s="33"/>
      <c r="M947"/>
      <c r="N947"/>
      <c r="O947"/>
      <c r="P947"/>
      <c r="Q947"/>
    </row>
    <row r="948" spans="1:43" ht="28.5" x14ac:dyDescent="0.2">
      <c r="A948" s="31" t="s">
        <v>73</v>
      </c>
      <c r="B948" s="31" t="str">
        <f>[1]Source!F850</f>
        <v>цена поставщика</v>
      </c>
      <c r="C948" s="31" t="str">
        <f>[1]Source!G850</f>
        <v>Средство моющее незамерзающее для протирки Биомол АД-У</v>
      </c>
      <c r="D948" s="32" t="str">
        <f>[1]Source!H850</f>
        <v>л</v>
      </c>
      <c r="E948" s="4">
        <f>[1]Source!I850</f>
        <v>7.528912</v>
      </c>
      <c r="F948" s="33">
        <f>[1]Source!AK850</f>
        <v>236.78</v>
      </c>
      <c r="G948" s="39" t="s">
        <v>71</v>
      </c>
      <c r="H948" s="4">
        <f>[1]Source!AW850</f>
        <v>1</v>
      </c>
      <c r="I948" s="4">
        <f>IF([1]Source!BC850&lt;&gt; 0, [1]Source!BC850, 1)</f>
        <v>1</v>
      </c>
      <c r="J948" s="33">
        <f>[1]Source!O850</f>
        <v>1782.7</v>
      </c>
      <c r="K948" s="33"/>
      <c r="M948"/>
      <c r="N948"/>
      <c r="O948"/>
      <c r="P948"/>
      <c r="Q948"/>
      <c r="AB948">
        <f>ROUND(([1]Source!BZ850/100)*ROUND(([1]Source!AF850*[1]Source!AV850)*[1]Source!I850, 2), 2)</f>
        <v>0</v>
      </c>
      <c r="AC948">
        <f>[1]Source!X850</f>
        <v>0</v>
      </c>
      <c r="AD948">
        <f>ROUND(([1]Source!CA850/100)*ROUND(([1]Source!AF850*[1]Source!AV850)*[1]Source!I850, 2), 2)</f>
        <v>0</v>
      </c>
      <c r="AE948">
        <f>[1]Source!Y850</f>
        <v>0</v>
      </c>
      <c r="AF948">
        <f>ROUND((175/100)*ROUND(([1]Source!AE850*[1]Source!AV850)*[1]Source!I850, 2), 2)</f>
        <v>0</v>
      </c>
      <c r="AG948">
        <f>ROUND((108/100)*ROUND([1]Source!CS850*[1]Source!I850, 2), 2)</f>
        <v>0</v>
      </c>
    </row>
    <row r="949" spans="1:43" ht="15" x14ac:dyDescent="0.25">
      <c r="A949" s="35"/>
      <c r="B949" s="35"/>
      <c r="C949" s="35"/>
      <c r="D949" s="35"/>
      <c r="E949" s="35"/>
      <c r="F949" s="35"/>
      <c r="G949" s="35"/>
      <c r="H949" s="35"/>
      <c r="I949" s="36">
        <f>J947+SUM(J948:J948)</f>
        <v>304821.41000000003</v>
      </c>
      <c r="J949" s="36"/>
      <c r="K949" s="37">
        <f>IF([1]Source!I849&lt;&gt;0, ROUND(I949/[1]Source!I849, 2), 0)</f>
        <v>2655.93</v>
      </c>
      <c r="M949"/>
      <c r="N949"/>
      <c r="O949"/>
      <c r="P949"/>
      <c r="Q949"/>
      <c r="AA949" s="38">
        <f>I949</f>
        <v>304821.41000000003</v>
      </c>
    </row>
    <row r="950" spans="1:43" ht="42.75" x14ac:dyDescent="0.2">
      <c r="A950" s="31">
        <v>135</v>
      </c>
      <c r="B950" s="31" t="str">
        <f>[1]Source!F851</f>
        <v>5.3-1102-4-1/1</v>
      </c>
      <c r="C950" s="31" t="str">
        <f>[1]Source!G851</f>
        <v>Очистка скамеек, садовых диванов, урн, цветочниц, боллардов от снега вручную</v>
      </c>
      <c r="D950" s="32" t="str">
        <f>[1]Source!H851</f>
        <v>100 м2</v>
      </c>
      <c r="E950" s="4">
        <f>[1]Source!I851</f>
        <v>1.1476999999999999</v>
      </c>
      <c r="F950" s="33"/>
      <c r="G950" s="34"/>
      <c r="H950" s="4"/>
      <c r="I950" s="4"/>
      <c r="J950" s="33"/>
      <c r="K950" s="33"/>
      <c r="M950"/>
      <c r="N950"/>
      <c r="O950"/>
      <c r="P950"/>
      <c r="Q950"/>
      <c r="AB950">
        <f>ROUND(([1]Source!BZ851/100)*ROUND(([1]Source!AF851*[1]Source!AV851)*[1]Source!I851, 2), 2)</f>
        <v>94030.57</v>
      </c>
      <c r="AC950">
        <f>[1]Source!X851</f>
        <v>94030.57</v>
      </c>
      <c r="AD950">
        <f>ROUND(([1]Source!CA851/100)*ROUND(([1]Source!AF851*[1]Source!AV851)*[1]Source!I851, 2), 2)</f>
        <v>13432.94</v>
      </c>
      <c r="AE950">
        <f>[1]Source!Y851</f>
        <v>13432.94</v>
      </c>
      <c r="AF950">
        <f>ROUND((175/100)*ROUND(([1]Source!AE851*[1]Source!AV851)*[1]Source!I851, 2), 2)</f>
        <v>0</v>
      </c>
      <c r="AG950">
        <f>ROUND((108/100)*ROUND([1]Source!CS851*[1]Source!I851, 2), 2)</f>
        <v>0</v>
      </c>
    </row>
    <row r="951" spans="1:43" x14ac:dyDescent="0.2">
      <c r="C951" s="40" t="str">
        <f>"Объем: "&amp;[1]Source!I851&amp;"=114,77/"&amp;"100"</f>
        <v>Объем: 1,1477=114,77/100</v>
      </c>
      <c r="M951"/>
      <c r="N951"/>
      <c r="O951"/>
      <c r="P951"/>
      <c r="Q951"/>
    </row>
    <row r="952" spans="1:43" ht="14.25" x14ac:dyDescent="0.2">
      <c r="A952" s="31"/>
      <c r="B952" s="31"/>
      <c r="C952" s="31" t="s">
        <v>34</v>
      </c>
      <c r="D952" s="32"/>
      <c r="E952" s="4"/>
      <c r="F952" s="33">
        <f>[1]Source!AO851</f>
        <v>696.68</v>
      </c>
      <c r="G952" s="34" t="str">
        <f>[1]Source!DG851</f>
        <v>)*1*168</v>
      </c>
      <c r="H952" s="4">
        <f>[1]Source!AV851</f>
        <v>1</v>
      </c>
      <c r="I952" s="4">
        <f>IF([1]Source!BA851&lt;&gt; 0, [1]Source!BA851, 1)</f>
        <v>1</v>
      </c>
      <c r="J952" s="33">
        <f>[1]Source!S851</f>
        <v>134329.38</v>
      </c>
      <c r="K952" s="33"/>
      <c r="M952"/>
      <c r="N952"/>
      <c r="O952"/>
      <c r="P952"/>
      <c r="Q952"/>
    </row>
    <row r="953" spans="1:43" ht="14.25" x14ac:dyDescent="0.2">
      <c r="A953" s="31"/>
      <c r="B953" s="31"/>
      <c r="C953" s="31" t="s">
        <v>40</v>
      </c>
      <c r="D953" s="32" t="s">
        <v>39</v>
      </c>
      <c r="E953" s="4">
        <f>[1]Source!AT851</f>
        <v>70</v>
      </c>
      <c r="F953" s="33"/>
      <c r="G953" s="34"/>
      <c r="H953" s="4"/>
      <c r="I953" s="4"/>
      <c r="J953" s="33">
        <f>SUM(AC950:AC952)</f>
        <v>94030.57</v>
      </c>
      <c r="K953" s="33"/>
      <c r="M953"/>
      <c r="N953"/>
      <c r="O953"/>
      <c r="P953"/>
      <c r="Q953"/>
    </row>
    <row r="954" spans="1:43" ht="14.25" x14ac:dyDescent="0.2">
      <c r="A954" s="31"/>
      <c r="B954" s="31"/>
      <c r="C954" s="31" t="s">
        <v>41</v>
      </c>
      <c r="D954" s="32" t="s">
        <v>39</v>
      </c>
      <c r="E954" s="4">
        <f>[1]Source!AU851</f>
        <v>10</v>
      </c>
      <c r="F954" s="33"/>
      <c r="G954" s="34"/>
      <c r="H954" s="4"/>
      <c r="I954" s="4"/>
      <c r="J954" s="33">
        <f>SUM(AE950:AE953)</f>
        <v>13432.94</v>
      </c>
      <c r="K954" s="33"/>
      <c r="M954"/>
      <c r="N954"/>
      <c r="O954"/>
      <c r="P954"/>
      <c r="Q954"/>
    </row>
    <row r="955" spans="1:43" ht="14.25" x14ac:dyDescent="0.2">
      <c r="A955" s="31"/>
      <c r="B955" s="31"/>
      <c r="C955" s="31" t="s">
        <v>42</v>
      </c>
      <c r="D955" s="32" t="s">
        <v>43</v>
      </c>
      <c r="E955" s="4">
        <f>[1]Source!AQ851</f>
        <v>2.81</v>
      </c>
      <c r="F955" s="33"/>
      <c r="G955" s="34" t="str">
        <f>[1]Source!DI851</f>
        <v>)*1*168</v>
      </c>
      <c r="H955" s="4">
        <f>[1]Source!AV851</f>
        <v>1</v>
      </c>
      <c r="I955" s="4"/>
      <c r="J955" s="33"/>
      <c r="K955" s="33">
        <f>[1]Source!U851</f>
        <v>541.80621599999995</v>
      </c>
      <c r="M955"/>
      <c r="N955"/>
      <c r="O955"/>
      <c r="P955"/>
      <c r="Q955"/>
    </row>
    <row r="956" spans="1:43" ht="15" x14ac:dyDescent="0.25">
      <c r="A956" s="35"/>
      <c r="B956" s="35"/>
      <c r="C956" s="35"/>
      <c r="D956" s="35"/>
      <c r="E956" s="35"/>
      <c r="F956" s="35"/>
      <c r="G956" s="35"/>
      <c r="H956" s="35"/>
      <c r="I956" s="36">
        <f>J952+J953+J954</f>
        <v>241792.89</v>
      </c>
      <c r="J956" s="36"/>
      <c r="K956" s="37">
        <f>IF([1]Source!I851&lt;&gt;0, ROUND(I956/[1]Source!I851, 2), 0)</f>
        <v>210676.04</v>
      </c>
      <c r="M956"/>
      <c r="N956"/>
      <c r="O956"/>
      <c r="P956"/>
      <c r="Q956"/>
      <c r="AA956" s="38">
        <f>I956</f>
        <v>241792.89</v>
      </c>
    </row>
    <row r="957" spans="1:43" x14ac:dyDescent="0.2">
      <c r="M957"/>
      <c r="N957"/>
      <c r="O957"/>
      <c r="P957"/>
      <c r="Q957"/>
    </row>
    <row r="958" spans="1:43" ht="30" x14ac:dyDescent="0.25">
      <c r="A958" s="42" t="str">
        <f>CONCATENATE("Итого по разделу: ",IF([1]Source!G853&lt;&gt;"Новый раздел", [1]Source!G853, ""))</f>
        <v>Итого по разделу: Содержание покрытия брусом (лавочка ресторана " Восход "-14,87 м2, лавочка кафе " гастрономический  центр - 99,9 м2)</v>
      </c>
      <c r="B958" s="42"/>
      <c r="C958" s="42"/>
      <c r="D958" s="42"/>
      <c r="E958" s="42"/>
      <c r="F958" s="42"/>
      <c r="G958" s="42"/>
      <c r="H958" s="42"/>
      <c r="I958" s="43">
        <f>SUM(AA945:AA957)</f>
        <v>546614.30000000005</v>
      </c>
      <c r="J958" s="44"/>
      <c r="K958" s="47"/>
      <c r="L958" s="38">
        <f>I958</f>
        <v>546614.30000000005</v>
      </c>
      <c r="M958" s="2">
        <f>ROUND(I958*$I$4874,2)</f>
        <v>394768.59</v>
      </c>
      <c r="N958" s="2">
        <f>ROUND(M958*1.2/105*100,2)</f>
        <v>451164.1</v>
      </c>
      <c r="O958" s="2">
        <f>ROUND(N958*0.05,2)</f>
        <v>22558.21</v>
      </c>
      <c r="P958" s="2">
        <f>N958+O958</f>
        <v>473722.31</v>
      </c>
      <c r="Q958" s="3">
        <v>33</v>
      </c>
      <c r="R958">
        <v>2</v>
      </c>
      <c r="S958" s="2">
        <v>86627.67</v>
      </c>
      <c r="AQ958" s="46" t="str">
        <f>CONCATENATE("Итого по разделу: ",IF([1]Source!G853&lt;&gt;"Новый раздел", [1]Source!G853, ""))</f>
        <v>Итого по разделу: Содержание покрытия брусом (лавочка ресторана " Восход "-14,87 м2, лавочка кафе " гастрономический  центр - 99,9 м2)</v>
      </c>
    </row>
    <row r="959" spans="1:43" x14ac:dyDescent="0.2">
      <c r="M959"/>
      <c r="N959"/>
      <c r="O959"/>
      <c r="P959"/>
      <c r="Q959"/>
    </row>
    <row r="960" spans="1:43" x14ac:dyDescent="0.2">
      <c r="M960"/>
      <c r="N960"/>
      <c r="O960"/>
      <c r="P960"/>
      <c r="Q960"/>
    </row>
    <row r="961" spans="1:33" ht="16.5" x14ac:dyDescent="0.25">
      <c r="A961" s="29" t="str">
        <f>CONCATENATE("Раздел: ",IF([1]Source!G883&lt;&gt;"Новый раздел", [1]Source!G883, ""))</f>
        <v>Раздел: Уход за детскими площадками.( S= 274,5 м2)</v>
      </c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M961"/>
      <c r="N961"/>
      <c r="O961"/>
      <c r="P961"/>
      <c r="Q961"/>
    </row>
    <row r="962" spans="1:33" ht="28.5" x14ac:dyDescent="0.2">
      <c r="A962" s="31">
        <v>136</v>
      </c>
      <c r="B962" s="31" t="str">
        <f>[1]Source!F887</f>
        <v>калькуляция</v>
      </c>
      <c r="C962" s="31" t="str">
        <f>[1]Source!G887</f>
        <v>Уборка полиуретанового покрытия площадки</v>
      </c>
      <c r="D962" s="32" t="str">
        <f>[1]Source!H887</f>
        <v>м2</v>
      </c>
      <c r="E962" s="4">
        <f>[1]Source!I887</f>
        <v>274.5</v>
      </c>
      <c r="F962" s="33"/>
      <c r="G962" s="34"/>
      <c r="H962" s="4"/>
      <c r="I962" s="4"/>
      <c r="J962" s="33"/>
      <c r="K962" s="33"/>
      <c r="M962"/>
      <c r="N962"/>
      <c r="O962"/>
      <c r="P962"/>
      <c r="Q962"/>
      <c r="AB962">
        <f>ROUND(([1]Source!BZ887/100)*ROUND(([1]Source!AF887*[1]Source!AV887)*[1]Source!I887, 2), 2)</f>
        <v>0</v>
      </c>
      <c r="AC962">
        <f>[1]Source!X887</f>
        <v>0</v>
      </c>
      <c r="AD962">
        <f>ROUND(([1]Source!CA887/100)*ROUND(([1]Source!AF887*[1]Source!AV887)*[1]Source!I887, 2), 2)</f>
        <v>0</v>
      </c>
      <c r="AE962">
        <f>[1]Source!Y887</f>
        <v>0</v>
      </c>
      <c r="AF962">
        <f>ROUND((175/100)*ROUND(([1]Source!AE887*[1]Source!AV887)*[1]Source!I887, 2), 2)</f>
        <v>0</v>
      </c>
      <c r="AG962">
        <f>ROUND((108/100)*ROUND([1]Source!CS887*[1]Source!I887, 2), 2)</f>
        <v>0</v>
      </c>
    </row>
    <row r="963" spans="1:33" ht="14.25" x14ac:dyDescent="0.2">
      <c r="A963" s="31"/>
      <c r="B963" s="31"/>
      <c r="C963" s="31" t="s">
        <v>34</v>
      </c>
      <c r="D963" s="32"/>
      <c r="E963" s="4"/>
      <c r="F963" s="33">
        <f>[1]Source!AO887</f>
        <v>4.68</v>
      </c>
      <c r="G963" s="34" t="str">
        <f>[1]Source!DG887</f>
        <v>*4*164</v>
      </c>
      <c r="H963" s="4">
        <f>[1]Source!AV887</f>
        <v>1</v>
      </c>
      <c r="I963" s="4">
        <f>IF([1]Source!BA887&lt;&gt; 0, [1]Source!BA887, 1)</f>
        <v>1</v>
      </c>
      <c r="J963" s="33">
        <f>[1]Source!S887</f>
        <v>842736.96</v>
      </c>
      <c r="K963" s="33"/>
      <c r="M963"/>
      <c r="N963"/>
      <c r="O963"/>
      <c r="P963"/>
      <c r="Q963"/>
    </row>
    <row r="964" spans="1:33" ht="15" x14ac:dyDescent="0.25">
      <c r="A964" s="35"/>
      <c r="B964" s="35"/>
      <c r="C964" s="35"/>
      <c r="D964" s="35"/>
      <c r="E964" s="35"/>
      <c r="F964" s="35"/>
      <c r="G964" s="35"/>
      <c r="H964" s="35"/>
      <c r="I964" s="36">
        <f>J963</f>
        <v>842736.96</v>
      </c>
      <c r="J964" s="36"/>
      <c r="K964" s="37">
        <f>IF([1]Source!I887&lt;&gt;0, ROUND(I964/[1]Source!I887, 2), 0)</f>
        <v>3070.08</v>
      </c>
      <c r="M964"/>
      <c r="N964"/>
      <c r="O964"/>
      <c r="P964"/>
      <c r="Q964"/>
      <c r="AA964" s="38">
        <f>I964</f>
        <v>842736.96</v>
      </c>
    </row>
    <row r="965" spans="1:33" ht="57" x14ac:dyDescent="0.2">
      <c r="A965" s="31">
        <v>137</v>
      </c>
      <c r="B965" s="31" t="str">
        <f>[1]Source!F888</f>
        <v>5.3-1102-21-1/1</v>
      </c>
      <c r="C965" s="31" t="str">
        <f>[1]Source!G888</f>
        <v>Уборка детских и спортивных площадок с резиновым покрытием от снега - свежевыпавшего толщиной до 5 см</v>
      </c>
      <c r="D965" s="32" t="str">
        <f>[1]Source!H888</f>
        <v>100 м2</v>
      </c>
      <c r="E965" s="4">
        <f>[1]Source!I888</f>
        <v>2.7450000000000001</v>
      </c>
      <c r="F965" s="33"/>
      <c r="G965" s="34"/>
      <c r="H965" s="4"/>
      <c r="I965" s="4"/>
      <c r="J965" s="33"/>
      <c r="K965" s="33"/>
      <c r="M965"/>
      <c r="N965"/>
      <c r="O965"/>
      <c r="P965"/>
      <c r="Q965"/>
      <c r="AB965">
        <f>ROUND(([1]Source!BZ888/100)*ROUND(([1]Source!AF888*[1]Source!AV888)*[1]Source!I888, 2), 2)</f>
        <v>329746</v>
      </c>
      <c r="AC965">
        <f>[1]Source!X888</f>
        <v>329746</v>
      </c>
      <c r="AD965">
        <f>ROUND(([1]Source!CA888/100)*ROUND(([1]Source!AF888*[1]Source!AV888)*[1]Source!I888, 2), 2)</f>
        <v>47106.57</v>
      </c>
      <c r="AE965">
        <f>[1]Source!Y888</f>
        <v>47106.57</v>
      </c>
      <c r="AF965">
        <f>ROUND((175/100)*ROUND(([1]Source!AE888*[1]Source!AV888)*[1]Source!I888, 2), 2)</f>
        <v>0</v>
      </c>
      <c r="AG965">
        <f>ROUND((108/100)*ROUND([1]Source!CS888*[1]Source!I888, 2), 2)</f>
        <v>0</v>
      </c>
    </row>
    <row r="966" spans="1:33" x14ac:dyDescent="0.2">
      <c r="C966" s="40" t="str">
        <f>"Объем: "&amp;[1]Source!I888&amp;"=274,5/"&amp;"100"</f>
        <v>Объем: 2,745=274,5/100</v>
      </c>
      <c r="M966"/>
      <c r="N966"/>
      <c r="O966"/>
      <c r="P966"/>
      <c r="Q966"/>
    </row>
    <row r="967" spans="1:33" ht="14.25" x14ac:dyDescent="0.2">
      <c r="A967" s="31"/>
      <c r="B967" s="31"/>
      <c r="C967" s="31" t="s">
        <v>34</v>
      </c>
      <c r="D967" s="32"/>
      <c r="E967" s="4"/>
      <c r="F967" s="33">
        <f>[1]Source!AO888</f>
        <v>255.37</v>
      </c>
      <c r="G967" s="34" t="str">
        <f>[1]Source!DG888</f>
        <v>)*4*168</v>
      </c>
      <c r="H967" s="4">
        <f>[1]Source!AV888</f>
        <v>1</v>
      </c>
      <c r="I967" s="4">
        <f>IF([1]Source!BA888&lt;&gt; 0, [1]Source!BA888, 1)</f>
        <v>1</v>
      </c>
      <c r="J967" s="33">
        <f>[1]Source!S888</f>
        <v>471065.72</v>
      </c>
      <c r="K967" s="33"/>
      <c r="M967"/>
      <c r="N967"/>
      <c r="O967"/>
      <c r="P967"/>
      <c r="Q967"/>
    </row>
    <row r="968" spans="1:33" ht="14.25" x14ac:dyDescent="0.2">
      <c r="A968" s="31"/>
      <c r="B968" s="31"/>
      <c r="C968" s="31" t="s">
        <v>40</v>
      </c>
      <c r="D968" s="32" t="s">
        <v>39</v>
      </c>
      <c r="E968" s="4">
        <f>[1]Source!AT888</f>
        <v>70</v>
      </c>
      <c r="F968" s="33"/>
      <c r="G968" s="34"/>
      <c r="H968" s="4"/>
      <c r="I968" s="4"/>
      <c r="J968" s="33">
        <f>SUM(AC965:AC967)</f>
        <v>329746</v>
      </c>
      <c r="K968" s="33"/>
      <c r="M968"/>
      <c r="N968"/>
      <c r="O968"/>
      <c r="P968"/>
      <c r="Q968"/>
    </row>
    <row r="969" spans="1:33" ht="14.25" x14ac:dyDescent="0.2">
      <c r="A969" s="31"/>
      <c r="B969" s="31"/>
      <c r="C969" s="31" t="s">
        <v>41</v>
      </c>
      <c r="D969" s="32" t="s">
        <v>39</v>
      </c>
      <c r="E969" s="4">
        <f>[1]Source!AU888</f>
        <v>10</v>
      </c>
      <c r="F969" s="33"/>
      <c r="G969" s="34"/>
      <c r="H969" s="4"/>
      <c r="I969" s="4"/>
      <c r="J969" s="33">
        <f>SUM(AE965:AE968)</f>
        <v>47106.57</v>
      </c>
      <c r="K969" s="33"/>
      <c r="M969"/>
      <c r="N969"/>
      <c r="O969"/>
      <c r="P969"/>
      <c r="Q969"/>
    </row>
    <row r="970" spans="1:33" ht="14.25" x14ac:dyDescent="0.2">
      <c r="A970" s="31"/>
      <c r="B970" s="31"/>
      <c r="C970" s="31" t="s">
        <v>42</v>
      </c>
      <c r="D970" s="32" t="s">
        <v>43</v>
      </c>
      <c r="E970" s="4">
        <f>[1]Source!AQ888</f>
        <v>1.03</v>
      </c>
      <c r="F970" s="33"/>
      <c r="G970" s="34" t="str">
        <f>[1]Source!DI888</f>
        <v>)*4*168</v>
      </c>
      <c r="H970" s="4">
        <f>[1]Source!AV888</f>
        <v>1</v>
      </c>
      <c r="I970" s="4"/>
      <c r="J970" s="33"/>
      <c r="K970" s="33">
        <f>[1]Source!U888</f>
        <v>1899.9792</v>
      </c>
      <c r="M970"/>
      <c r="N970"/>
      <c r="O970"/>
      <c r="P970"/>
      <c r="Q970"/>
    </row>
    <row r="971" spans="1:33" ht="15" x14ac:dyDescent="0.25">
      <c r="A971" s="35"/>
      <c r="B971" s="35"/>
      <c r="C971" s="35"/>
      <c r="D971" s="35"/>
      <c r="E971" s="35"/>
      <c r="F971" s="35"/>
      <c r="G971" s="35"/>
      <c r="H971" s="35"/>
      <c r="I971" s="36">
        <f>J967+J968+J969</f>
        <v>847918.28999999992</v>
      </c>
      <c r="J971" s="36"/>
      <c r="K971" s="37">
        <f>IF([1]Source!I888&lt;&gt;0, ROUND(I971/[1]Source!I888, 2), 0)</f>
        <v>308895.55</v>
      </c>
      <c r="M971"/>
      <c r="N971"/>
      <c r="O971"/>
      <c r="P971"/>
      <c r="Q971"/>
      <c r="AA971" s="38">
        <f>I971</f>
        <v>847918.28999999992</v>
      </c>
    </row>
    <row r="972" spans="1:33" ht="42.75" x14ac:dyDescent="0.2">
      <c r="A972" s="31">
        <v>138</v>
      </c>
      <c r="B972" s="31" t="str">
        <f>[1]Source!F889</f>
        <v>5.3-1102-21-3/1</v>
      </c>
      <c r="C972" s="31" t="str">
        <f>[1]Source!G889</f>
        <v>Уборка детских и спортивных площадок с резиновым покрытием от снега - уплотненного толщиной до 5 см</v>
      </c>
      <c r="D972" s="32" t="str">
        <f>[1]Source!H889</f>
        <v>100 м2</v>
      </c>
      <c r="E972" s="4">
        <f>[1]Source!I889</f>
        <v>0.27450000000000002</v>
      </c>
      <c r="F972" s="33"/>
      <c r="G972" s="34"/>
      <c r="H972" s="4"/>
      <c r="I972" s="4"/>
      <c r="J972" s="33"/>
      <c r="K972" s="33"/>
      <c r="M972"/>
      <c r="N972"/>
      <c r="O972"/>
      <c r="P972"/>
      <c r="Q972"/>
      <c r="AB972">
        <f>ROUND(([1]Source!BZ889/100)*ROUND(([1]Source!AF889*[1]Source!AV889)*[1]Source!I889, 2), 2)</f>
        <v>4321.8900000000003</v>
      </c>
      <c r="AC972">
        <f>[1]Source!X889</f>
        <v>4321.8900000000003</v>
      </c>
      <c r="AD972">
        <f>ROUND(([1]Source!CA889/100)*ROUND(([1]Source!AF889*[1]Source!AV889)*[1]Source!I889, 2), 2)</f>
        <v>617.41</v>
      </c>
      <c r="AE972">
        <f>[1]Source!Y889</f>
        <v>617.41</v>
      </c>
      <c r="AF972">
        <f>ROUND((175/100)*ROUND(([1]Source!AE889*[1]Source!AV889)*[1]Source!I889, 2), 2)</f>
        <v>0</v>
      </c>
      <c r="AG972">
        <f>ROUND((108/100)*ROUND([1]Source!CS889*[1]Source!I889, 2), 2)</f>
        <v>0</v>
      </c>
    </row>
    <row r="973" spans="1:33" x14ac:dyDescent="0.2">
      <c r="C973" s="40" t="str">
        <f>"Объем: "&amp;[1]Source!I889&amp;"=27,45/"&amp;"100"</f>
        <v>Объем: 0,2745=27,45/100</v>
      </c>
      <c r="M973"/>
      <c r="N973"/>
      <c r="O973"/>
      <c r="P973"/>
      <c r="Q973"/>
    </row>
    <row r="974" spans="1:33" ht="14.25" x14ac:dyDescent="0.2">
      <c r="A974" s="31"/>
      <c r="B974" s="31"/>
      <c r="C974" s="31" t="s">
        <v>34</v>
      </c>
      <c r="D974" s="32"/>
      <c r="E974" s="4"/>
      <c r="F974" s="33">
        <f>[1]Source!AO889</f>
        <v>535.53</v>
      </c>
      <c r="G974" s="34" t="str">
        <f>[1]Source!DG889</f>
        <v>)*1*42</v>
      </c>
      <c r="H974" s="4">
        <f>[1]Source!AV889</f>
        <v>1</v>
      </c>
      <c r="I974" s="4">
        <f>IF([1]Source!BA889&lt;&gt; 0, [1]Source!BA889, 1)</f>
        <v>1</v>
      </c>
      <c r="J974" s="33">
        <f>[1]Source!S889</f>
        <v>6174.13</v>
      </c>
      <c r="K974" s="33"/>
      <c r="M974"/>
      <c r="N974"/>
      <c r="O974"/>
      <c r="P974"/>
      <c r="Q974"/>
    </row>
    <row r="975" spans="1:33" ht="14.25" x14ac:dyDescent="0.2">
      <c r="A975" s="31"/>
      <c r="B975" s="31"/>
      <c r="C975" s="31" t="s">
        <v>40</v>
      </c>
      <c r="D975" s="32" t="s">
        <v>39</v>
      </c>
      <c r="E975" s="4">
        <f>[1]Source!AT889</f>
        <v>70</v>
      </c>
      <c r="F975" s="33"/>
      <c r="G975" s="34"/>
      <c r="H975" s="4"/>
      <c r="I975" s="4"/>
      <c r="J975" s="33">
        <f>SUM(AC972:AC974)</f>
        <v>4321.8900000000003</v>
      </c>
      <c r="K975" s="33"/>
      <c r="M975"/>
      <c r="N975"/>
      <c r="O975"/>
      <c r="P975"/>
      <c r="Q975"/>
    </row>
    <row r="976" spans="1:33" ht="14.25" x14ac:dyDescent="0.2">
      <c r="A976" s="31"/>
      <c r="B976" s="31"/>
      <c r="C976" s="31" t="s">
        <v>41</v>
      </c>
      <c r="D976" s="32" t="s">
        <v>39</v>
      </c>
      <c r="E976" s="4">
        <f>[1]Source!AU889</f>
        <v>10</v>
      </c>
      <c r="F976" s="33"/>
      <c r="G976" s="34"/>
      <c r="H976" s="4"/>
      <c r="I976" s="4"/>
      <c r="J976" s="33">
        <f>SUM(AE972:AE975)</f>
        <v>617.41</v>
      </c>
      <c r="K976" s="33"/>
      <c r="M976"/>
      <c r="N976"/>
      <c r="O976"/>
      <c r="P976"/>
      <c r="Q976"/>
    </row>
    <row r="977" spans="1:33" ht="14.25" x14ac:dyDescent="0.2">
      <c r="A977" s="31"/>
      <c r="B977" s="31"/>
      <c r="C977" s="31" t="s">
        <v>42</v>
      </c>
      <c r="D977" s="32" t="s">
        <v>43</v>
      </c>
      <c r="E977" s="4">
        <f>[1]Source!AQ889</f>
        <v>2.16</v>
      </c>
      <c r="F977" s="33"/>
      <c r="G977" s="34" t="str">
        <f>[1]Source!DI889</f>
        <v>)*1*42</v>
      </c>
      <c r="H977" s="4">
        <f>[1]Source!AV889</f>
        <v>1</v>
      </c>
      <c r="I977" s="4"/>
      <c r="J977" s="33"/>
      <c r="K977" s="33">
        <f>[1]Source!U889</f>
        <v>24.902640000000002</v>
      </c>
      <c r="M977"/>
      <c r="N977"/>
      <c r="O977"/>
      <c r="P977"/>
      <c r="Q977"/>
    </row>
    <row r="978" spans="1:33" ht="15" x14ac:dyDescent="0.25">
      <c r="A978" s="35"/>
      <c r="B978" s="35"/>
      <c r="C978" s="35"/>
      <c r="D978" s="35"/>
      <c r="E978" s="35"/>
      <c r="F978" s="35"/>
      <c r="G978" s="35"/>
      <c r="H978" s="35"/>
      <c r="I978" s="36">
        <f>J974+J975+J976</f>
        <v>11113.43</v>
      </c>
      <c r="J978" s="36"/>
      <c r="K978" s="37">
        <f>IF([1]Source!I889&lt;&gt;0, ROUND(I978/[1]Source!I889, 2), 0)</f>
        <v>40486.080000000002</v>
      </c>
      <c r="M978"/>
      <c r="N978"/>
      <c r="O978"/>
      <c r="P978"/>
      <c r="Q978"/>
      <c r="AA978" s="38">
        <f>I978</f>
        <v>11113.43</v>
      </c>
    </row>
    <row r="979" spans="1:33" ht="28.5" x14ac:dyDescent="0.2">
      <c r="A979" s="31">
        <v>139</v>
      </c>
      <c r="B979" s="31" t="str">
        <f>[1]Source!F890</f>
        <v>5.4-1201-1-1/1</v>
      </c>
      <c r="C979" s="31" t="str">
        <f>[1]Source!G890</f>
        <v>Сбор случайного мусора по территории</v>
      </c>
      <c r="D979" s="32" t="str">
        <f>[1]Source!H890</f>
        <v>100 м2</v>
      </c>
      <c r="E979" s="4">
        <f>[1]Source!I890</f>
        <v>2.7450000000000001</v>
      </c>
      <c r="F979" s="33"/>
      <c r="G979" s="34"/>
      <c r="H979" s="4"/>
      <c r="I979" s="4"/>
      <c r="J979" s="33"/>
      <c r="K979" s="33"/>
      <c r="M979"/>
      <c r="N979"/>
      <c r="O979"/>
      <c r="P979"/>
      <c r="Q979"/>
      <c r="AB979">
        <f>ROUND(([1]Source!BZ890/100)*ROUND(([1]Source!AF890*[1]Source!AV890)*[1]Source!I890, 2), 2)</f>
        <v>31641.72</v>
      </c>
      <c r="AC979">
        <f>[1]Source!X890</f>
        <v>31641.72</v>
      </c>
      <c r="AD979">
        <f>ROUND(([1]Source!CA890/100)*ROUND(([1]Source!AF890*[1]Source!AV890)*[1]Source!I890, 2), 2)</f>
        <v>4520.25</v>
      </c>
      <c r="AE979">
        <f>[1]Source!Y890</f>
        <v>4520.25</v>
      </c>
      <c r="AF979">
        <f>ROUND((175/100)*ROUND(([1]Source!AE890*[1]Source!AV890)*[1]Source!I890, 2), 2)</f>
        <v>0</v>
      </c>
      <c r="AG979">
        <f>ROUND((108/100)*ROUND([1]Source!CS890*[1]Source!I890, 2), 2)</f>
        <v>0</v>
      </c>
    </row>
    <row r="980" spans="1:33" x14ac:dyDescent="0.2">
      <c r="C980" s="40" t="str">
        <f>"Объем: "&amp;[1]Source!I890&amp;"=274,5/"&amp;"100"</f>
        <v>Объем: 2,745=274,5/100</v>
      </c>
      <c r="M980"/>
      <c r="N980"/>
      <c r="O980"/>
      <c r="P980"/>
      <c r="Q980"/>
    </row>
    <row r="981" spans="1:33" ht="14.25" x14ac:dyDescent="0.2">
      <c r="A981" s="31"/>
      <c r="B981" s="31"/>
      <c r="C981" s="31" t="s">
        <v>34</v>
      </c>
      <c r="D981" s="32"/>
      <c r="E981" s="4"/>
      <c r="F981" s="33">
        <f>[1]Source!AO890</f>
        <v>12.4</v>
      </c>
      <c r="G981" s="34" t="str">
        <f>[1]Source!DG890</f>
        <v>)*4*332</v>
      </c>
      <c r="H981" s="4">
        <f>[1]Source!AV890</f>
        <v>1</v>
      </c>
      <c r="I981" s="4">
        <f>IF([1]Source!BA890&lt;&gt; 0, [1]Source!BA890, 1)</f>
        <v>1</v>
      </c>
      <c r="J981" s="33">
        <f>[1]Source!S890</f>
        <v>45202.46</v>
      </c>
      <c r="K981" s="33"/>
      <c r="M981"/>
      <c r="N981"/>
      <c r="O981"/>
      <c r="P981"/>
      <c r="Q981"/>
    </row>
    <row r="982" spans="1:33" ht="14.25" x14ac:dyDescent="0.2">
      <c r="A982" s="31"/>
      <c r="B982" s="31"/>
      <c r="C982" s="31" t="s">
        <v>47</v>
      </c>
      <c r="D982" s="32"/>
      <c r="E982" s="4"/>
      <c r="F982" s="33">
        <f>[1]Source!AL890</f>
        <v>0.69</v>
      </c>
      <c r="G982" s="34" t="str">
        <f>[1]Source!DD890</f>
        <v>)*4*332</v>
      </c>
      <c r="H982" s="4">
        <f>[1]Source!AW890</f>
        <v>1</v>
      </c>
      <c r="I982" s="4">
        <f>IF([1]Source!BC890&lt;&gt; 0, [1]Source!BC890, 1)</f>
        <v>1</v>
      </c>
      <c r="J982" s="33">
        <f>[1]Source!P890</f>
        <v>2515.3000000000002</v>
      </c>
      <c r="K982" s="33"/>
      <c r="M982"/>
      <c r="N982"/>
      <c r="O982"/>
      <c r="P982"/>
      <c r="Q982"/>
    </row>
    <row r="983" spans="1:33" ht="14.25" x14ac:dyDescent="0.2">
      <c r="A983" s="31"/>
      <c r="B983" s="31"/>
      <c r="C983" s="31" t="s">
        <v>40</v>
      </c>
      <c r="D983" s="32" t="s">
        <v>39</v>
      </c>
      <c r="E983" s="4">
        <f>[1]Source!AT890</f>
        <v>70</v>
      </c>
      <c r="F983" s="33"/>
      <c r="G983" s="34"/>
      <c r="H983" s="4"/>
      <c r="I983" s="4"/>
      <c r="J983" s="33">
        <f>SUM(AC979:AC982)</f>
        <v>31641.72</v>
      </c>
      <c r="K983" s="33"/>
      <c r="M983"/>
      <c r="N983"/>
      <c r="O983"/>
      <c r="P983"/>
      <c r="Q983"/>
    </row>
    <row r="984" spans="1:33" ht="14.25" x14ac:dyDescent="0.2">
      <c r="A984" s="31"/>
      <c r="B984" s="31"/>
      <c r="C984" s="31" t="s">
        <v>41</v>
      </c>
      <c r="D984" s="32" t="s">
        <v>39</v>
      </c>
      <c r="E984" s="4">
        <f>[1]Source!AU890</f>
        <v>10</v>
      </c>
      <c r="F984" s="33"/>
      <c r="G984" s="34"/>
      <c r="H984" s="4"/>
      <c r="I984" s="4"/>
      <c r="J984" s="33">
        <f>SUM(AE979:AE983)</f>
        <v>4520.25</v>
      </c>
      <c r="K984" s="33"/>
      <c r="M984"/>
      <c r="N984"/>
      <c r="O984"/>
      <c r="P984"/>
      <c r="Q984"/>
    </row>
    <row r="985" spans="1:33" ht="14.25" x14ac:dyDescent="0.2">
      <c r="A985" s="31"/>
      <c r="B985" s="31"/>
      <c r="C985" s="31" t="s">
        <v>42</v>
      </c>
      <c r="D985" s="32" t="s">
        <v>43</v>
      </c>
      <c r="E985" s="4">
        <f>[1]Source!AQ890</f>
        <v>0.05</v>
      </c>
      <c r="F985" s="33"/>
      <c r="G985" s="34" t="str">
        <f>[1]Source!DI890</f>
        <v>)*4*332</v>
      </c>
      <c r="H985" s="4">
        <f>[1]Source!AV890</f>
        <v>1</v>
      </c>
      <c r="I985" s="4"/>
      <c r="J985" s="33"/>
      <c r="K985" s="33">
        <f>[1]Source!U890</f>
        <v>182.26800000000003</v>
      </c>
      <c r="M985"/>
      <c r="N985"/>
      <c r="O985"/>
      <c r="P985"/>
      <c r="Q985"/>
    </row>
    <row r="986" spans="1:33" ht="15" x14ac:dyDescent="0.25">
      <c r="A986" s="35"/>
      <c r="B986" s="35"/>
      <c r="C986" s="35"/>
      <c r="D986" s="35"/>
      <c r="E986" s="35"/>
      <c r="F986" s="35"/>
      <c r="G986" s="35"/>
      <c r="H986" s="35"/>
      <c r="I986" s="36">
        <f>J981+J982+J983+J984</f>
        <v>83879.73000000001</v>
      </c>
      <c r="J986" s="36"/>
      <c r="K986" s="37">
        <f>IF([1]Source!I890&lt;&gt;0, ROUND(I986/[1]Source!I890, 2), 0)</f>
        <v>30557.279999999999</v>
      </c>
      <c r="M986"/>
      <c r="N986"/>
      <c r="O986"/>
      <c r="P986"/>
      <c r="Q986"/>
      <c r="AA986" s="38">
        <f>I986</f>
        <v>83879.73000000001</v>
      </c>
    </row>
    <row r="987" spans="1:33" x14ac:dyDescent="0.2">
      <c r="M987"/>
      <c r="N987"/>
      <c r="O987"/>
      <c r="P987"/>
      <c r="Q987"/>
    </row>
    <row r="988" spans="1:33" ht="15" x14ac:dyDescent="0.25">
      <c r="A988" s="42" t="str">
        <f>CONCATENATE("Итого по разделу: ",IF([1]Source!G892&lt;&gt;"Новый раздел", [1]Source!G892, ""))</f>
        <v>Итого по разделу: Уход за детскими площадками.( S= 274,5 м2)</v>
      </c>
      <c r="B988" s="42"/>
      <c r="C988" s="42"/>
      <c r="D988" s="42"/>
      <c r="E988" s="42"/>
      <c r="F988" s="42"/>
      <c r="G988" s="42"/>
      <c r="H988" s="42"/>
      <c r="I988" s="43">
        <f>SUM(AA961:AA987)</f>
        <v>1785648.41</v>
      </c>
      <c r="J988" s="44"/>
      <c r="K988" s="47"/>
      <c r="L988" s="38">
        <f>I988</f>
        <v>1785648.41</v>
      </c>
      <c r="M988" s="2">
        <f>ROUND(I988*$I$4874,2)</f>
        <v>1289607.51</v>
      </c>
      <c r="N988" s="2">
        <f>ROUND(M988*1.2/105*100,2)</f>
        <v>1473837.15</v>
      </c>
      <c r="O988" s="2">
        <f>ROUND(N988*0.05,2)</f>
        <v>73691.86</v>
      </c>
      <c r="P988" s="2">
        <f>N988+O988</f>
        <v>1547529.01</v>
      </c>
      <c r="Q988" s="3">
        <v>34</v>
      </c>
      <c r="R988">
        <v>2</v>
      </c>
      <c r="S988" s="2">
        <v>285994.83</v>
      </c>
    </row>
    <row r="989" spans="1:33" x14ac:dyDescent="0.2">
      <c r="M989"/>
      <c r="N989"/>
      <c r="O989"/>
      <c r="P989"/>
      <c r="Q989"/>
    </row>
    <row r="990" spans="1:33" x14ac:dyDescent="0.2">
      <c r="M990"/>
      <c r="N990"/>
      <c r="O990"/>
      <c r="P990"/>
      <c r="Q990"/>
    </row>
    <row r="991" spans="1:33" ht="16.5" x14ac:dyDescent="0.25">
      <c r="A991" s="29" t="str">
        <f>CONCATENATE("Раздел: ",IF([1]Source!G922&lt;&gt;"Новый раздел", [1]Source!G922, ""))</f>
        <v>Раздел: Игровые элементы " Детской площадки ".( 6шт.)</v>
      </c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M991"/>
      <c r="N991"/>
      <c r="O991"/>
      <c r="P991"/>
      <c r="Q991"/>
    </row>
    <row r="992" spans="1:33" ht="85.5" x14ac:dyDescent="0.2">
      <c r="A992" s="31">
        <v>140</v>
      </c>
      <c r="B992" s="31" t="str">
        <f>[1]Source!F926</f>
        <v>5.3-1102-32-1/1</v>
      </c>
      <c r="C992" s="31" t="str">
        <f>[1]Source!G926</f>
        <v>Удаление снега и наледи ручным способом - игровой городок в парке "Зарядье" в составе "Паутинка", "Зигзаг", "Ходули-лабиринт" ("Столбы"), "Балансир" (2 шт.), "Качели-гамак"</v>
      </c>
      <c r="D992" s="32" t="str">
        <f>[1]Source!H926</f>
        <v>комплекс</v>
      </c>
      <c r="E992" s="4">
        <f>[1]Source!I926</f>
        <v>1</v>
      </c>
      <c r="F992" s="33"/>
      <c r="G992" s="34"/>
      <c r="H992" s="4"/>
      <c r="I992" s="4"/>
      <c r="J992" s="33"/>
      <c r="K992" s="33"/>
      <c r="M992"/>
      <c r="N992"/>
      <c r="O992"/>
      <c r="P992"/>
      <c r="Q992"/>
      <c r="AB992">
        <f>ROUND(([1]Source!BZ926/100)*ROUND(([1]Source!AF926*[1]Source!AV926)*[1]Source!I926, 2), 2)</f>
        <v>17494.18</v>
      </c>
      <c r="AC992">
        <f>[1]Source!X926</f>
        <v>17494.18</v>
      </c>
      <c r="AD992">
        <f>ROUND(([1]Source!CA926/100)*ROUND(([1]Source!AF926*[1]Source!AV926)*[1]Source!I926, 2), 2)</f>
        <v>2499.17</v>
      </c>
      <c r="AE992">
        <f>[1]Source!Y926</f>
        <v>2499.17</v>
      </c>
      <c r="AF992">
        <f>ROUND((175/100)*ROUND(([1]Source!AE926*[1]Source!AV926)*[1]Source!I926, 2), 2)</f>
        <v>0</v>
      </c>
      <c r="AG992">
        <f>ROUND((108/100)*ROUND([1]Source!CS926*[1]Source!I926, 2), 2)</f>
        <v>0</v>
      </c>
    </row>
    <row r="993" spans="1:33" ht="14.25" x14ac:dyDescent="0.2">
      <c r="A993" s="31"/>
      <c r="B993" s="31"/>
      <c r="C993" s="31" t="s">
        <v>34</v>
      </c>
      <c r="D993" s="32"/>
      <c r="E993" s="4"/>
      <c r="F993" s="33">
        <f>[1]Source!AO926</f>
        <v>148.76</v>
      </c>
      <c r="G993" s="34" t="str">
        <f>[1]Source!DG926</f>
        <v>)*1*168</v>
      </c>
      <c r="H993" s="4">
        <f>[1]Source!AV926</f>
        <v>1</v>
      </c>
      <c r="I993" s="4">
        <f>IF([1]Source!BA926&lt;&gt; 0, [1]Source!BA926, 1)</f>
        <v>1</v>
      </c>
      <c r="J993" s="33">
        <f>[1]Source!S926</f>
        <v>24991.68</v>
      </c>
      <c r="K993" s="33"/>
      <c r="M993"/>
      <c r="N993"/>
      <c r="O993"/>
      <c r="P993"/>
      <c r="Q993"/>
    </row>
    <row r="994" spans="1:33" ht="14.25" x14ac:dyDescent="0.2">
      <c r="A994" s="31"/>
      <c r="B994" s="31"/>
      <c r="C994" s="31" t="s">
        <v>40</v>
      </c>
      <c r="D994" s="32" t="s">
        <v>39</v>
      </c>
      <c r="E994" s="4">
        <f>[1]Source!AT926</f>
        <v>70</v>
      </c>
      <c r="F994" s="33"/>
      <c r="G994" s="34"/>
      <c r="H994" s="4"/>
      <c r="I994" s="4"/>
      <c r="J994" s="33">
        <f>SUM(AC992:AC993)</f>
        <v>17494.18</v>
      </c>
      <c r="K994" s="33"/>
      <c r="M994"/>
      <c r="N994"/>
      <c r="O994"/>
      <c r="P994"/>
      <c r="Q994"/>
    </row>
    <row r="995" spans="1:33" ht="14.25" x14ac:dyDescent="0.2">
      <c r="A995" s="31"/>
      <c r="B995" s="31"/>
      <c r="C995" s="31" t="s">
        <v>41</v>
      </c>
      <c r="D995" s="32" t="s">
        <v>39</v>
      </c>
      <c r="E995" s="4">
        <f>[1]Source!AU926</f>
        <v>10</v>
      </c>
      <c r="F995" s="33"/>
      <c r="G995" s="34"/>
      <c r="H995" s="4"/>
      <c r="I995" s="4"/>
      <c r="J995" s="33">
        <f>SUM(AE992:AE994)</f>
        <v>2499.17</v>
      </c>
      <c r="K995" s="33"/>
      <c r="M995"/>
      <c r="N995"/>
      <c r="O995"/>
      <c r="P995"/>
      <c r="Q995"/>
    </row>
    <row r="996" spans="1:33" ht="14.25" x14ac:dyDescent="0.2">
      <c r="A996" s="31"/>
      <c r="B996" s="31"/>
      <c r="C996" s="31" t="s">
        <v>42</v>
      </c>
      <c r="D996" s="32" t="s">
        <v>43</v>
      </c>
      <c r="E996" s="4">
        <f>[1]Source!AQ926</f>
        <v>0.6</v>
      </c>
      <c r="F996" s="33"/>
      <c r="G996" s="34" t="str">
        <f>[1]Source!DI926</f>
        <v>)*1*168</v>
      </c>
      <c r="H996" s="4">
        <f>[1]Source!AV926</f>
        <v>1</v>
      </c>
      <c r="I996" s="4"/>
      <c r="J996" s="33"/>
      <c r="K996" s="33">
        <f>[1]Source!U926</f>
        <v>100.8</v>
      </c>
      <c r="M996"/>
      <c r="N996"/>
      <c r="O996"/>
      <c r="P996"/>
      <c r="Q996"/>
    </row>
    <row r="997" spans="1:33" ht="15" x14ac:dyDescent="0.25">
      <c r="A997" s="35"/>
      <c r="B997" s="35"/>
      <c r="C997" s="35"/>
      <c r="D997" s="35"/>
      <c r="E997" s="35"/>
      <c r="F997" s="35"/>
      <c r="G997" s="35"/>
      <c r="H997" s="35"/>
      <c r="I997" s="36">
        <f>J993+J994+J995</f>
        <v>44985.03</v>
      </c>
      <c r="J997" s="36"/>
      <c r="K997" s="37">
        <f>IF([1]Source!I926&lt;&gt;0, ROUND(I997/[1]Source!I926, 2), 0)</f>
        <v>44985.03</v>
      </c>
      <c r="M997"/>
      <c r="N997"/>
      <c r="O997"/>
      <c r="P997"/>
      <c r="Q997"/>
      <c r="AA997" s="38">
        <f>I997</f>
        <v>44985.03</v>
      </c>
    </row>
    <row r="998" spans="1:33" x14ac:dyDescent="0.2">
      <c r="M998"/>
      <c r="N998"/>
      <c r="O998"/>
      <c r="P998"/>
      <c r="Q998"/>
    </row>
    <row r="999" spans="1:33" ht="15" x14ac:dyDescent="0.25">
      <c r="A999" s="42" t="str">
        <f>CONCATENATE("Итого по разделу: ",IF([1]Source!G928&lt;&gt;"Новый раздел", [1]Source!G928, ""))</f>
        <v>Итого по разделу: Игровые элементы " Детской площадки ".( 6шт.)</v>
      </c>
      <c r="B999" s="42"/>
      <c r="C999" s="42"/>
      <c r="D999" s="42"/>
      <c r="E999" s="42"/>
      <c r="F999" s="42"/>
      <c r="G999" s="42"/>
      <c r="H999" s="42"/>
      <c r="I999" s="43">
        <f>SUM(AA991:AA998)</f>
        <v>44985.03</v>
      </c>
      <c r="J999" s="44"/>
      <c r="K999" s="47"/>
      <c r="L999" s="38">
        <f>I999</f>
        <v>44985.03</v>
      </c>
      <c r="M999" s="2">
        <f>ROUND(I999*$I$4874,2)</f>
        <v>32488.5</v>
      </c>
      <c r="N999" s="2">
        <f>ROUND(M999*1.2/105*100,2)</f>
        <v>37129.71</v>
      </c>
      <c r="O999" s="2">
        <f>ROUND(N999*0.05,2)</f>
        <v>1856.49</v>
      </c>
      <c r="P999" s="2">
        <f>N999+O999</f>
        <v>38986.199999999997</v>
      </c>
      <c r="Q999" s="3">
        <v>35</v>
      </c>
      <c r="R999">
        <v>2</v>
      </c>
      <c r="S999" s="2">
        <v>6265.64</v>
      </c>
    </row>
    <row r="1000" spans="1:33" x14ac:dyDescent="0.2">
      <c r="M1000"/>
      <c r="N1000"/>
      <c r="O1000"/>
      <c r="P1000"/>
      <c r="Q1000"/>
    </row>
    <row r="1001" spans="1:33" x14ac:dyDescent="0.2">
      <c r="M1001"/>
      <c r="N1001"/>
      <c r="O1001"/>
      <c r="P1001"/>
      <c r="Q1001"/>
    </row>
    <row r="1002" spans="1:33" ht="16.5" x14ac:dyDescent="0.25">
      <c r="A1002" s="29" t="str">
        <f>CONCATENATE("Раздел: ",IF([1]Source!G958&lt;&gt;"Новый раздел", [1]Source!G958, ""))</f>
        <v>Раздел: Уход за садово-парковыми скамьями. ( S=708,02 м2)</v>
      </c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M1002"/>
      <c r="N1002"/>
      <c r="O1002"/>
      <c r="P1002"/>
      <c r="Q1002"/>
    </row>
    <row r="1003" spans="1:33" ht="14.25" x14ac:dyDescent="0.2">
      <c r="A1003" s="31">
        <v>141</v>
      </c>
      <c r="B1003" s="31" t="str">
        <f>[1]Source!F962</f>
        <v>калькуляция</v>
      </c>
      <c r="C1003" s="31" t="str">
        <f>[1]Source!G962</f>
        <v>Протирка скамеек</v>
      </c>
      <c r="D1003" s="32" t="str">
        <f>[1]Source!H962</f>
        <v>м2</v>
      </c>
      <c r="E1003" s="4">
        <f>[1]Source!I962</f>
        <v>708.02</v>
      </c>
      <c r="F1003" s="33"/>
      <c r="G1003" s="34"/>
      <c r="H1003" s="4"/>
      <c r="I1003" s="4"/>
      <c r="J1003" s="33"/>
      <c r="K1003" s="33"/>
      <c r="M1003"/>
      <c r="N1003"/>
      <c r="O1003"/>
      <c r="P1003"/>
      <c r="Q1003"/>
      <c r="AB1003">
        <f>ROUND(([1]Source!BZ962/100)*ROUND(([1]Source!AF962*[1]Source!AV962)*[1]Source!I962, 2), 2)</f>
        <v>0</v>
      </c>
      <c r="AC1003">
        <f>[1]Source!X962</f>
        <v>0</v>
      </c>
      <c r="AD1003">
        <f>ROUND(([1]Source!CA962/100)*ROUND(([1]Source!AF962*[1]Source!AV962)*[1]Source!I962, 2), 2)</f>
        <v>0</v>
      </c>
      <c r="AE1003">
        <f>[1]Source!Y962</f>
        <v>0</v>
      </c>
      <c r="AF1003">
        <f>ROUND((175/100)*ROUND(([1]Source!AE962*[1]Source!AV962)*[1]Source!I962, 2), 2)</f>
        <v>0</v>
      </c>
      <c r="AG1003">
        <f>ROUND((108/100)*ROUND([1]Source!CS962*[1]Source!I962, 2), 2)</f>
        <v>0</v>
      </c>
    </row>
    <row r="1004" spans="1:33" ht="14.25" x14ac:dyDescent="0.2">
      <c r="A1004" s="31"/>
      <c r="B1004" s="31"/>
      <c r="C1004" s="31" t="s">
        <v>34</v>
      </c>
      <c r="D1004" s="32"/>
      <c r="E1004" s="4"/>
      <c r="F1004" s="33">
        <f>[1]Source!AO962</f>
        <v>8.0500000000000007</v>
      </c>
      <c r="G1004" s="34" t="str">
        <f>[1]Source!DG962</f>
        <v>*2*164</v>
      </c>
      <c r="H1004" s="4">
        <f>[1]Source!AV962</f>
        <v>1</v>
      </c>
      <c r="I1004" s="4">
        <f>IF([1]Source!BA962&lt;&gt; 0, [1]Source!BA962, 1)</f>
        <v>1</v>
      </c>
      <c r="J1004" s="33">
        <f>[1]Source!S962</f>
        <v>1869456.01</v>
      </c>
      <c r="K1004" s="33"/>
      <c r="M1004"/>
      <c r="N1004"/>
      <c r="O1004"/>
      <c r="P1004"/>
      <c r="Q1004"/>
    </row>
    <row r="1005" spans="1:33" ht="28.5" x14ac:dyDescent="0.2">
      <c r="A1005" s="31" t="s">
        <v>74</v>
      </c>
      <c r="B1005" s="31" t="str">
        <f>[1]Source!F963</f>
        <v>цена поставщика</v>
      </c>
      <c r="C1005" s="31" t="str">
        <f>[1]Source!G963</f>
        <v>Средство моющее незамерзающее для протирки Биомол АД-У</v>
      </c>
      <c r="D1005" s="32" t="str">
        <f>[1]Source!H963</f>
        <v>л</v>
      </c>
      <c r="E1005" s="4">
        <f>[1]Source!I963</f>
        <v>46.446111999999999</v>
      </c>
      <c r="F1005" s="33">
        <f>[1]Source!AK963</f>
        <v>236.78</v>
      </c>
      <c r="G1005" s="39" t="s">
        <v>71</v>
      </c>
      <c r="H1005" s="4">
        <f>[1]Source!AW963</f>
        <v>1</v>
      </c>
      <c r="I1005" s="4">
        <f>IF([1]Source!BC963&lt;&gt; 0, [1]Source!BC963, 1)</f>
        <v>1</v>
      </c>
      <c r="J1005" s="33">
        <f>[1]Source!O963</f>
        <v>10997.51</v>
      </c>
      <c r="K1005" s="33"/>
      <c r="M1005"/>
      <c r="N1005"/>
      <c r="O1005"/>
      <c r="P1005"/>
      <c r="Q1005"/>
      <c r="AB1005">
        <f>ROUND(([1]Source!BZ963/100)*ROUND(([1]Source!AF963*[1]Source!AV963)*[1]Source!I963, 2), 2)</f>
        <v>0</v>
      </c>
      <c r="AC1005">
        <f>[1]Source!X963</f>
        <v>0</v>
      </c>
      <c r="AD1005">
        <f>ROUND(([1]Source!CA963/100)*ROUND(([1]Source!AF963*[1]Source!AV963)*[1]Source!I963, 2), 2)</f>
        <v>0</v>
      </c>
      <c r="AE1005">
        <f>[1]Source!Y963</f>
        <v>0</v>
      </c>
      <c r="AF1005">
        <f>ROUND((175/100)*ROUND(([1]Source!AE963*[1]Source!AV963)*[1]Source!I963, 2), 2)</f>
        <v>0</v>
      </c>
      <c r="AG1005">
        <f>ROUND((108/100)*ROUND([1]Source!CS963*[1]Source!I963, 2), 2)</f>
        <v>0</v>
      </c>
    </row>
    <row r="1006" spans="1:33" ht="15" x14ac:dyDescent="0.25">
      <c r="A1006" s="35"/>
      <c r="B1006" s="35"/>
      <c r="C1006" s="35"/>
      <c r="D1006" s="35"/>
      <c r="E1006" s="35"/>
      <c r="F1006" s="35"/>
      <c r="G1006" s="35"/>
      <c r="H1006" s="35"/>
      <c r="I1006" s="36">
        <f>J1004+SUM(J1005:J1005)</f>
        <v>1880453.52</v>
      </c>
      <c r="J1006" s="36"/>
      <c r="K1006" s="37">
        <f>IF([1]Source!I962&lt;&gt;0, ROUND(I1006/[1]Source!I962, 2), 0)</f>
        <v>2655.93</v>
      </c>
      <c r="M1006"/>
      <c r="N1006"/>
      <c r="O1006"/>
      <c r="P1006"/>
      <c r="Q1006"/>
      <c r="AA1006" s="38">
        <f>I1006</f>
        <v>1880453.52</v>
      </c>
    </row>
    <row r="1007" spans="1:33" ht="42.75" x14ac:dyDescent="0.2">
      <c r="A1007" s="31">
        <v>142</v>
      </c>
      <c r="B1007" s="31" t="str">
        <f>[1]Source!F964</f>
        <v>5.3-1102-4-1/1</v>
      </c>
      <c r="C1007" s="31" t="str">
        <f>[1]Source!G964</f>
        <v>Очистка скамеек, садовых диванов, урн, цветочниц, боллардов от снега вручную</v>
      </c>
      <c r="D1007" s="32" t="str">
        <f>[1]Source!H964</f>
        <v>100 м2</v>
      </c>
      <c r="E1007" s="4">
        <f>[1]Source!I964</f>
        <v>7.0801999999999996</v>
      </c>
      <c r="F1007" s="33"/>
      <c r="G1007" s="34"/>
      <c r="H1007" s="4"/>
      <c r="I1007" s="4"/>
      <c r="J1007" s="33"/>
      <c r="K1007" s="33"/>
      <c r="M1007"/>
      <c r="N1007"/>
      <c r="O1007"/>
      <c r="P1007"/>
      <c r="Q1007"/>
      <c r="AB1007">
        <f>ROUND(([1]Source!BZ964/100)*ROUND(([1]Source!AF964*[1]Source!AV964)*[1]Source!I964, 2), 2)</f>
        <v>580077.73</v>
      </c>
      <c r="AC1007">
        <f>[1]Source!X964</f>
        <v>580077.73</v>
      </c>
      <c r="AD1007">
        <f>ROUND(([1]Source!CA964/100)*ROUND(([1]Source!AF964*[1]Source!AV964)*[1]Source!I964, 2), 2)</f>
        <v>82868.25</v>
      </c>
      <c r="AE1007">
        <f>[1]Source!Y964</f>
        <v>82868.25</v>
      </c>
      <c r="AF1007">
        <f>ROUND((175/100)*ROUND(([1]Source!AE964*[1]Source!AV964)*[1]Source!I964, 2), 2)</f>
        <v>0</v>
      </c>
      <c r="AG1007">
        <f>ROUND((108/100)*ROUND([1]Source!CS964*[1]Source!I964, 2), 2)</f>
        <v>0</v>
      </c>
    </row>
    <row r="1008" spans="1:33" x14ac:dyDescent="0.2">
      <c r="C1008" s="40" t="str">
        <f>"Объем: "&amp;[1]Source!I964&amp;"=708,02/"&amp;"100"</f>
        <v>Объем: 7,0802=708,02/100</v>
      </c>
      <c r="M1008"/>
      <c r="N1008"/>
      <c r="O1008"/>
      <c r="P1008"/>
      <c r="Q1008"/>
    </row>
    <row r="1009" spans="1:33" ht="14.25" x14ac:dyDescent="0.2">
      <c r="A1009" s="31"/>
      <c r="B1009" s="31"/>
      <c r="C1009" s="31" t="s">
        <v>34</v>
      </c>
      <c r="D1009" s="32"/>
      <c r="E1009" s="4"/>
      <c r="F1009" s="33">
        <f>[1]Source!AO964</f>
        <v>696.68</v>
      </c>
      <c r="G1009" s="34" t="str">
        <f>[1]Source!DG964</f>
        <v>)*1*168</v>
      </c>
      <c r="H1009" s="4">
        <f>[1]Source!AV964</f>
        <v>1</v>
      </c>
      <c r="I1009" s="4">
        <f>IF([1]Source!BA964&lt;&gt; 0, [1]Source!BA964, 1)</f>
        <v>1</v>
      </c>
      <c r="J1009" s="33">
        <f>[1]Source!S964</f>
        <v>828682.47</v>
      </c>
      <c r="K1009" s="33"/>
      <c r="M1009"/>
      <c r="N1009"/>
      <c r="O1009"/>
      <c r="P1009"/>
      <c r="Q1009"/>
    </row>
    <row r="1010" spans="1:33" ht="14.25" x14ac:dyDescent="0.2">
      <c r="A1010" s="31"/>
      <c r="B1010" s="31"/>
      <c r="C1010" s="31" t="s">
        <v>40</v>
      </c>
      <c r="D1010" s="32" t="s">
        <v>39</v>
      </c>
      <c r="E1010" s="4">
        <f>[1]Source!AT964</f>
        <v>70</v>
      </c>
      <c r="F1010" s="33"/>
      <c r="G1010" s="34"/>
      <c r="H1010" s="4"/>
      <c r="I1010" s="4"/>
      <c r="J1010" s="33">
        <f>SUM(AC1007:AC1009)</f>
        <v>580077.73</v>
      </c>
      <c r="K1010" s="33"/>
      <c r="M1010"/>
      <c r="N1010"/>
      <c r="O1010"/>
      <c r="P1010"/>
      <c r="Q1010"/>
    </row>
    <row r="1011" spans="1:33" ht="14.25" x14ac:dyDescent="0.2">
      <c r="A1011" s="31"/>
      <c r="B1011" s="31"/>
      <c r="C1011" s="31" t="s">
        <v>41</v>
      </c>
      <c r="D1011" s="32" t="s">
        <v>39</v>
      </c>
      <c r="E1011" s="4">
        <f>[1]Source!AU964</f>
        <v>10</v>
      </c>
      <c r="F1011" s="33"/>
      <c r="G1011" s="34"/>
      <c r="H1011" s="4"/>
      <c r="I1011" s="4"/>
      <c r="J1011" s="33">
        <f>SUM(AE1007:AE1010)</f>
        <v>82868.25</v>
      </c>
      <c r="K1011" s="33"/>
      <c r="M1011"/>
      <c r="N1011"/>
      <c r="O1011"/>
      <c r="P1011"/>
      <c r="Q1011"/>
    </row>
    <row r="1012" spans="1:33" ht="14.25" x14ac:dyDescent="0.2">
      <c r="A1012" s="31"/>
      <c r="B1012" s="31"/>
      <c r="C1012" s="31" t="s">
        <v>42</v>
      </c>
      <c r="D1012" s="32" t="s">
        <v>43</v>
      </c>
      <c r="E1012" s="4">
        <f>[1]Source!AQ964</f>
        <v>2.81</v>
      </c>
      <c r="F1012" s="33"/>
      <c r="G1012" s="34" t="str">
        <f>[1]Source!DI964</f>
        <v>)*1*168</v>
      </c>
      <c r="H1012" s="4">
        <f>[1]Source!AV964</f>
        <v>1</v>
      </c>
      <c r="I1012" s="4"/>
      <c r="J1012" s="33"/>
      <c r="K1012" s="33">
        <f>[1]Source!U964</f>
        <v>3342.4208159999998</v>
      </c>
      <c r="M1012"/>
      <c r="N1012"/>
      <c r="O1012"/>
      <c r="P1012"/>
      <c r="Q1012"/>
    </row>
    <row r="1013" spans="1:33" ht="15" x14ac:dyDescent="0.25">
      <c r="A1013" s="35"/>
      <c r="B1013" s="35"/>
      <c r="C1013" s="35"/>
      <c r="D1013" s="35"/>
      <c r="E1013" s="35"/>
      <c r="F1013" s="35"/>
      <c r="G1013" s="35"/>
      <c r="H1013" s="35"/>
      <c r="I1013" s="36">
        <f>J1009+J1010+J1011</f>
        <v>1491628.45</v>
      </c>
      <c r="J1013" s="36"/>
      <c r="K1013" s="37">
        <f>IF([1]Source!I964&lt;&gt;0, ROUND(I1013/[1]Source!I964, 2), 0)</f>
        <v>210676.03</v>
      </c>
      <c r="M1013"/>
      <c r="N1013"/>
      <c r="O1013"/>
      <c r="P1013"/>
      <c r="Q1013"/>
      <c r="AA1013" s="38">
        <f>I1013</f>
        <v>1491628.45</v>
      </c>
    </row>
    <row r="1014" spans="1:33" x14ac:dyDescent="0.2">
      <c r="M1014"/>
      <c r="N1014"/>
      <c r="O1014"/>
      <c r="P1014"/>
      <c r="Q1014"/>
    </row>
    <row r="1015" spans="1:33" ht="15" x14ac:dyDescent="0.25">
      <c r="A1015" s="42" t="str">
        <f>CONCATENATE("Итого по разделу: ",IF([1]Source!G966&lt;&gt;"Новый раздел", [1]Source!G966, ""))</f>
        <v>Итого по разделу: Уход за садово-парковыми скамьями. ( S=708,02 м2)</v>
      </c>
      <c r="B1015" s="42"/>
      <c r="C1015" s="42"/>
      <c r="D1015" s="42"/>
      <c r="E1015" s="42"/>
      <c r="F1015" s="42"/>
      <c r="G1015" s="42"/>
      <c r="H1015" s="42"/>
      <c r="I1015" s="43">
        <f>SUM(AA1002:AA1014)</f>
        <v>3372081.9699999997</v>
      </c>
      <c r="J1015" s="44"/>
      <c r="K1015" s="47"/>
      <c r="L1015" s="38">
        <f>I1015</f>
        <v>3372081.9699999997</v>
      </c>
      <c r="M1015" s="2">
        <f>ROUND(I1015*$I$4874,2)</f>
        <v>2435340.69</v>
      </c>
      <c r="N1015" s="2">
        <f>ROUND(M1015*1.2/105*100,2)</f>
        <v>2783246.5</v>
      </c>
      <c r="O1015" s="2">
        <f>ROUND(N1015*0.05,2)</f>
        <v>139162.32999999999</v>
      </c>
      <c r="P1015" s="2">
        <f>N1015+O1015</f>
        <v>2922408.83</v>
      </c>
      <c r="Q1015" s="3">
        <v>36</v>
      </c>
      <c r="R1015">
        <v>2</v>
      </c>
      <c r="S1015" s="2">
        <v>534409.02</v>
      </c>
    </row>
    <row r="1016" spans="1:33" x14ac:dyDescent="0.2">
      <c r="M1016"/>
      <c r="N1016"/>
      <c r="O1016"/>
      <c r="P1016"/>
      <c r="Q1016"/>
    </row>
    <row r="1017" spans="1:33" x14ac:dyDescent="0.2">
      <c r="M1017"/>
      <c r="N1017"/>
      <c r="O1017"/>
      <c r="P1017"/>
      <c r="Q1017"/>
    </row>
    <row r="1018" spans="1:33" ht="16.5" x14ac:dyDescent="0.25">
      <c r="A1018" s="29" t="str">
        <f>CONCATENATE("Раздел: ",IF([1]Source!G996&lt;&gt;"Новый раздел", [1]Source!G996, ""))</f>
        <v>Раздел: Содержание деревянного моста.( S= 276 м2 )</v>
      </c>
      <c r="B1018" s="29"/>
      <c r="C1018" s="29"/>
      <c r="D1018" s="29"/>
      <c r="E1018" s="29"/>
      <c r="F1018" s="29"/>
      <c r="G1018" s="29"/>
      <c r="H1018" s="29"/>
      <c r="I1018" s="29"/>
      <c r="J1018" s="29"/>
      <c r="K1018" s="29"/>
      <c r="M1018"/>
      <c r="N1018"/>
      <c r="O1018"/>
      <c r="P1018"/>
      <c r="Q1018"/>
    </row>
    <row r="1019" spans="1:33" ht="14.25" x14ac:dyDescent="0.2">
      <c r="A1019" s="31">
        <v>143</v>
      </c>
      <c r="B1019" s="31" t="str">
        <f>[1]Source!F1000</f>
        <v>калькуляция</v>
      </c>
      <c r="C1019" s="31" t="str">
        <f>[1]Source!G1000</f>
        <v>Содержание моста</v>
      </c>
      <c r="D1019" s="32" t="str">
        <f>[1]Source!H1000</f>
        <v>м2</v>
      </c>
      <c r="E1019" s="4">
        <f>[1]Source!I1000</f>
        <v>276</v>
      </c>
      <c r="F1019" s="33"/>
      <c r="G1019" s="34"/>
      <c r="H1019" s="4"/>
      <c r="I1019" s="4"/>
      <c r="J1019" s="33"/>
      <c r="K1019" s="33"/>
      <c r="M1019"/>
      <c r="N1019"/>
      <c r="O1019"/>
      <c r="P1019"/>
      <c r="Q1019"/>
      <c r="AB1019">
        <f>ROUND(([1]Source!BZ1000/100)*ROUND(([1]Source!AF1000*[1]Source!AV1000)*[1]Source!I1000, 2), 2)</f>
        <v>0</v>
      </c>
      <c r="AC1019">
        <f>[1]Source!X1000</f>
        <v>0</v>
      </c>
      <c r="AD1019">
        <f>ROUND(([1]Source!CA1000/100)*ROUND(([1]Source!AF1000*[1]Source!AV1000)*[1]Source!I1000, 2), 2)</f>
        <v>0</v>
      </c>
      <c r="AE1019">
        <f>[1]Source!Y1000</f>
        <v>0</v>
      </c>
      <c r="AF1019">
        <f>ROUND((175/100)*ROUND(([1]Source!AE1000*[1]Source!AV1000)*[1]Source!I1000, 2), 2)</f>
        <v>0</v>
      </c>
      <c r="AG1019">
        <f>ROUND((108/100)*ROUND([1]Source!CS1000*[1]Source!I1000, 2), 2)</f>
        <v>0</v>
      </c>
    </row>
    <row r="1020" spans="1:33" ht="14.25" x14ac:dyDescent="0.2">
      <c r="A1020" s="31"/>
      <c r="B1020" s="31"/>
      <c r="C1020" s="31" t="s">
        <v>34</v>
      </c>
      <c r="D1020" s="32"/>
      <c r="E1020" s="4"/>
      <c r="F1020" s="33">
        <f>[1]Source!AO1000</f>
        <v>4.18</v>
      </c>
      <c r="G1020" s="34" t="str">
        <f>[1]Source!DG1000</f>
        <v>*4*164</v>
      </c>
      <c r="H1020" s="4">
        <f>[1]Source!AV1000</f>
        <v>1</v>
      </c>
      <c r="I1020" s="4">
        <f>IF([1]Source!BA1000&lt;&gt; 0, [1]Source!BA1000, 1)</f>
        <v>1</v>
      </c>
      <c r="J1020" s="33">
        <f>[1]Source!S1000</f>
        <v>756814.08</v>
      </c>
      <c r="K1020" s="33"/>
      <c r="M1020"/>
      <c r="N1020"/>
      <c r="O1020"/>
      <c r="P1020"/>
      <c r="Q1020"/>
    </row>
    <row r="1021" spans="1:33" ht="15" x14ac:dyDescent="0.25">
      <c r="A1021" s="35"/>
      <c r="B1021" s="35"/>
      <c r="C1021" s="35"/>
      <c r="D1021" s="35"/>
      <c r="E1021" s="35"/>
      <c r="F1021" s="35"/>
      <c r="G1021" s="35"/>
      <c r="H1021" s="35"/>
      <c r="I1021" s="36">
        <f>J1020</f>
        <v>756814.08</v>
      </c>
      <c r="J1021" s="36"/>
      <c r="K1021" s="37">
        <f>IF([1]Source!I1000&lt;&gt;0, ROUND(I1021/[1]Source!I1000, 2), 0)</f>
        <v>2742.08</v>
      </c>
      <c r="M1021"/>
      <c r="N1021"/>
      <c r="O1021"/>
      <c r="P1021"/>
      <c r="Q1021"/>
      <c r="AA1021" s="38">
        <f>I1021</f>
        <v>756814.08</v>
      </c>
    </row>
    <row r="1022" spans="1:33" ht="57" x14ac:dyDescent="0.2">
      <c r="A1022" s="31">
        <v>144</v>
      </c>
      <c r="B1022" s="31" t="str">
        <f>[1]Source!F1001</f>
        <v>5.3-1102-23-1/1</v>
      </c>
      <c r="C1022" s="31" t="str">
        <f>[1]Source!G1001</f>
        <v>Уборка от снега деревянного настила - амфитеатра, тротуаров, лестниц, экотроп ( S= 545 м2 )</v>
      </c>
      <c r="D1022" s="32" t="str">
        <f>[1]Source!H1001</f>
        <v>100 м2 горизонтальной проекции</v>
      </c>
      <c r="E1022" s="4">
        <f>[1]Source!I1001</f>
        <v>2.76</v>
      </c>
      <c r="F1022" s="33"/>
      <c r="G1022" s="34"/>
      <c r="H1022" s="4"/>
      <c r="I1022" s="4"/>
      <c r="J1022" s="33"/>
      <c r="K1022" s="33"/>
      <c r="M1022"/>
      <c r="N1022"/>
      <c r="O1022"/>
      <c r="P1022"/>
      <c r="Q1022"/>
      <c r="AB1022">
        <f>ROUND(([1]Source!BZ1001/100)*ROUND(([1]Source!AF1001*[1]Source!AV1001)*[1]Source!I1001, 2), 2)</f>
        <v>1226390.94</v>
      </c>
      <c r="AC1022">
        <f>[1]Source!X1001</f>
        <v>1226390.94</v>
      </c>
      <c r="AD1022">
        <f>ROUND(([1]Source!CA1001/100)*ROUND(([1]Source!AF1001*[1]Source!AV1001)*[1]Source!I1001, 2), 2)</f>
        <v>175198.71</v>
      </c>
      <c r="AE1022">
        <f>[1]Source!Y1001</f>
        <v>175198.71</v>
      </c>
      <c r="AF1022">
        <f>ROUND((175/100)*ROUND(([1]Source!AE1001*[1]Source!AV1001)*[1]Source!I1001, 2), 2)</f>
        <v>0</v>
      </c>
      <c r="AG1022">
        <f>ROUND((108/100)*ROUND([1]Source!CS1001*[1]Source!I1001, 2), 2)</f>
        <v>0</v>
      </c>
    </row>
    <row r="1023" spans="1:33" x14ac:dyDescent="0.2">
      <c r="C1023" s="40" t="str">
        <f>"Объем: "&amp;[1]Source!I1001&amp;"=276/"&amp;"100"</f>
        <v>Объем: 2,76=276/100</v>
      </c>
      <c r="M1023"/>
      <c r="N1023"/>
      <c r="O1023"/>
      <c r="P1023"/>
      <c r="Q1023"/>
    </row>
    <row r="1024" spans="1:33" ht="14.25" x14ac:dyDescent="0.2">
      <c r="A1024" s="31"/>
      <c r="B1024" s="31"/>
      <c r="C1024" s="31" t="s">
        <v>34</v>
      </c>
      <c r="D1024" s="32"/>
      <c r="E1024" s="4"/>
      <c r="F1024" s="33">
        <f>[1]Source!AO1001</f>
        <v>944.61</v>
      </c>
      <c r="G1024" s="34" t="str">
        <f>[1]Source!DG1001</f>
        <v>*4*168</v>
      </c>
      <c r="H1024" s="4">
        <f>[1]Source!AV1001</f>
        <v>1</v>
      </c>
      <c r="I1024" s="4">
        <f>IF([1]Source!BA1001&lt;&gt; 0, [1]Source!BA1001, 1)</f>
        <v>1</v>
      </c>
      <c r="J1024" s="33">
        <f>[1]Source!S1001</f>
        <v>1751987.06</v>
      </c>
      <c r="K1024" s="33"/>
      <c r="M1024"/>
      <c r="N1024"/>
      <c r="O1024"/>
      <c r="P1024"/>
      <c r="Q1024"/>
    </row>
    <row r="1025" spans="1:33" ht="14.25" x14ac:dyDescent="0.2">
      <c r="A1025" s="31"/>
      <c r="B1025" s="31"/>
      <c r="C1025" s="31" t="s">
        <v>40</v>
      </c>
      <c r="D1025" s="32" t="s">
        <v>39</v>
      </c>
      <c r="E1025" s="4">
        <f>[1]Source!AT1001</f>
        <v>70</v>
      </c>
      <c r="F1025" s="33"/>
      <c r="G1025" s="34"/>
      <c r="H1025" s="4"/>
      <c r="I1025" s="4"/>
      <c r="J1025" s="33">
        <f>SUM(AC1022:AC1024)</f>
        <v>1226390.94</v>
      </c>
      <c r="K1025" s="33"/>
      <c r="M1025"/>
      <c r="N1025"/>
      <c r="O1025"/>
      <c r="P1025"/>
      <c r="Q1025"/>
    </row>
    <row r="1026" spans="1:33" ht="14.25" x14ac:dyDescent="0.2">
      <c r="A1026" s="31"/>
      <c r="B1026" s="31"/>
      <c r="C1026" s="31" t="s">
        <v>41</v>
      </c>
      <c r="D1026" s="32" t="s">
        <v>39</v>
      </c>
      <c r="E1026" s="4">
        <f>[1]Source!AU1001</f>
        <v>10</v>
      </c>
      <c r="F1026" s="33"/>
      <c r="G1026" s="34"/>
      <c r="H1026" s="4"/>
      <c r="I1026" s="4"/>
      <c r="J1026" s="33">
        <f>SUM(AE1022:AE1025)</f>
        <v>175198.71</v>
      </c>
      <c r="K1026" s="33"/>
      <c r="M1026"/>
      <c r="N1026"/>
      <c r="O1026"/>
      <c r="P1026"/>
      <c r="Q1026"/>
    </row>
    <row r="1027" spans="1:33" ht="14.25" x14ac:dyDescent="0.2">
      <c r="A1027" s="31"/>
      <c r="B1027" s="31"/>
      <c r="C1027" s="31" t="s">
        <v>42</v>
      </c>
      <c r="D1027" s="32" t="s">
        <v>43</v>
      </c>
      <c r="E1027" s="4">
        <f>[1]Source!AQ1001</f>
        <v>3.81</v>
      </c>
      <c r="F1027" s="33"/>
      <c r="G1027" s="34" t="str">
        <f>[1]Source!DI1001</f>
        <v>*4*168</v>
      </c>
      <c r="H1027" s="4">
        <f>[1]Source!AV1001</f>
        <v>1</v>
      </c>
      <c r="I1027" s="4"/>
      <c r="J1027" s="33"/>
      <c r="K1027" s="33">
        <f>[1]Source!U1001</f>
        <v>7066.4831999999997</v>
      </c>
      <c r="M1027"/>
      <c r="N1027"/>
      <c r="O1027"/>
      <c r="P1027"/>
      <c r="Q1027"/>
    </row>
    <row r="1028" spans="1:33" ht="15" x14ac:dyDescent="0.25">
      <c r="A1028" s="35"/>
      <c r="B1028" s="35"/>
      <c r="C1028" s="35"/>
      <c r="D1028" s="35"/>
      <c r="E1028" s="35"/>
      <c r="F1028" s="35"/>
      <c r="G1028" s="35"/>
      <c r="H1028" s="35"/>
      <c r="I1028" s="36">
        <f>J1024+J1025+J1026</f>
        <v>3153576.71</v>
      </c>
      <c r="J1028" s="36"/>
      <c r="K1028" s="37">
        <f>IF([1]Source!I1001&lt;&gt;0, ROUND(I1028/[1]Source!I1001, 2), 0)</f>
        <v>1142600.26</v>
      </c>
      <c r="M1028"/>
      <c r="N1028"/>
      <c r="O1028"/>
      <c r="P1028"/>
      <c r="Q1028"/>
      <c r="AA1028" s="38">
        <f>I1028</f>
        <v>3153576.71</v>
      </c>
    </row>
    <row r="1029" spans="1:33" ht="28.5" x14ac:dyDescent="0.2">
      <c r="A1029" s="31">
        <v>145</v>
      </c>
      <c r="B1029" s="31" t="str">
        <f>[1]Source!F1002</f>
        <v>калькуляция</v>
      </c>
      <c r="C1029" s="31" t="str">
        <f>[1]Source!G1002</f>
        <v>Посыпка гранитной крошкой  дорожных покрытий вручную( 100г/м2 )</v>
      </c>
      <c r="D1029" s="32" t="str">
        <f>[1]Source!H1002</f>
        <v>м2</v>
      </c>
      <c r="E1029" s="4">
        <f>[1]Source!I1002</f>
        <v>276</v>
      </c>
      <c r="F1029" s="33"/>
      <c r="G1029" s="34"/>
      <c r="H1029" s="4"/>
      <c r="I1029" s="4"/>
      <c r="J1029" s="33"/>
      <c r="K1029" s="33"/>
      <c r="M1029"/>
      <c r="N1029"/>
      <c r="O1029"/>
      <c r="P1029"/>
      <c r="Q1029"/>
      <c r="AB1029">
        <f>ROUND(([1]Source!BZ1002/100)*ROUND(([1]Source!AF1002*[1]Source!AV1002)*[1]Source!I1002, 2), 2)</f>
        <v>0</v>
      </c>
      <c r="AC1029">
        <f>[1]Source!X1002</f>
        <v>0</v>
      </c>
      <c r="AD1029">
        <f>ROUND(([1]Source!CA1002/100)*ROUND(([1]Source!AF1002*[1]Source!AV1002)*[1]Source!I1002, 2), 2)</f>
        <v>0</v>
      </c>
      <c r="AE1029">
        <f>[1]Source!Y1002</f>
        <v>0</v>
      </c>
      <c r="AF1029">
        <f>ROUND((175/100)*ROUND(([1]Source!AE1002*[1]Source!AV1002)*[1]Source!I1002, 2), 2)</f>
        <v>0</v>
      </c>
      <c r="AG1029">
        <f>ROUND((108/100)*ROUND([1]Source!CS1002*[1]Source!I1002, 2), 2)</f>
        <v>0</v>
      </c>
    </row>
    <row r="1030" spans="1:33" ht="14.25" x14ac:dyDescent="0.2">
      <c r="A1030" s="31"/>
      <c r="B1030" s="31"/>
      <c r="C1030" s="31" t="s">
        <v>34</v>
      </c>
      <c r="D1030" s="32"/>
      <c r="E1030" s="4"/>
      <c r="F1030" s="33">
        <f>[1]Source!AO1002</f>
        <v>2.08</v>
      </c>
      <c r="G1030" s="34" t="str">
        <f>[1]Source!DG1002</f>
        <v>*4*168</v>
      </c>
      <c r="H1030" s="4">
        <f>[1]Source!AV1002</f>
        <v>1</v>
      </c>
      <c r="I1030" s="4">
        <f>IF([1]Source!BA1002&lt;&gt; 0, [1]Source!BA1002, 1)</f>
        <v>1</v>
      </c>
      <c r="J1030" s="33">
        <f>[1]Source!S1002</f>
        <v>385781.76000000001</v>
      </c>
      <c r="K1030" s="33"/>
      <c r="M1030"/>
      <c r="N1030"/>
      <c r="O1030"/>
      <c r="P1030"/>
      <c r="Q1030"/>
    </row>
    <row r="1031" spans="1:33" ht="14.25" x14ac:dyDescent="0.2">
      <c r="A1031" s="31" t="s">
        <v>75</v>
      </c>
      <c r="B1031" s="31" t="str">
        <f>[1]Source!F1003</f>
        <v>цена поставщика</v>
      </c>
      <c r="C1031" s="31" t="str">
        <f>[1]Source!G1003</f>
        <v>Крошка гранитная</v>
      </c>
      <c r="D1031" s="32" t="str">
        <f>[1]Source!H1003</f>
        <v>кг</v>
      </c>
      <c r="E1031" s="4">
        <f>[1]Source!I1003</f>
        <v>18547.2</v>
      </c>
      <c r="F1031" s="33">
        <f>[1]Source!AK1003</f>
        <v>4.43</v>
      </c>
      <c r="G1031" s="39" t="s">
        <v>68</v>
      </c>
      <c r="H1031" s="4">
        <f>[1]Source!AW1003</f>
        <v>1</v>
      </c>
      <c r="I1031" s="4">
        <f>IF([1]Source!BC1003&lt;&gt; 0, [1]Source!BC1003, 1)</f>
        <v>1</v>
      </c>
      <c r="J1031" s="33">
        <f>[1]Source!O1003</f>
        <v>82164.100000000006</v>
      </c>
      <c r="K1031" s="33"/>
      <c r="M1031"/>
      <c r="N1031"/>
      <c r="O1031"/>
      <c r="P1031"/>
      <c r="Q1031"/>
      <c r="AB1031">
        <f>ROUND(([1]Source!BZ1003/100)*ROUND(([1]Source!AF1003*[1]Source!AV1003)*[1]Source!I1003, 2), 2)</f>
        <v>0</v>
      </c>
      <c r="AC1031">
        <f>[1]Source!X1003</f>
        <v>0</v>
      </c>
      <c r="AD1031">
        <f>ROUND(([1]Source!CA1003/100)*ROUND(([1]Source!AF1003*[1]Source!AV1003)*[1]Source!I1003, 2), 2)</f>
        <v>0</v>
      </c>
      <c r="AE1031">
        <f>[1]Source!Y1003</f>
        <v>0</v>
      </c>
      <c r="AF1031">
        <f>ROUND((175/100)*ROUND(([1]Source!AE1003*[1]Source!AV1003)*[1]Source!I1003, 2), 2)</f>
        <v>0</v>
      </c>
      <c r="AG1031">
        <f>ROUND((108/100)*ROUND([1]Source!CS1003*[1]Source!I1003, 2), 2)</f>
        <v>0</v>
      </c>
    </row>
    <row r="1032" spans="1:33" ht="15" x14ac:dyDescent="0.25">
      <c r="A1032" s="35"/>
      <c r="B1032" s="35"/>
      <c r="C1032" s="35"/>
      <c r="D1032" s="35"/>
      <c r="E1032" s="35"/>
      <c r="F1032" s="35"/>
      <c r="G1032" s="35"/>
      <c r="H1032" s="35"/>
      <c r="I1032" s="36">
        <f>J1030+SUM(J1031:J1031)</f>
        <v>467945.86</v>
      </c>
      <c r="J1032" s="36"/>
      <c r="K1032" s="37">
        <f>IF([1]Source!I1002&lt;&gt;0, ROUND(I1032/[1]Source!I1002, 2), 0)</f>
        <v>1695.46</v>
      </c>
      <c r="M1032"/>
      <c r="N1032"/>
      <c r="O1032"/>
      <c r="P1032"/>
      <c r="Q1032"/>
      <c r="AA1032" s="38">
        <f>I1032</f>
        <v>467945.86</v>
      </c>
    </row>
    <row r="1033" spans="1:33" ht="28.5" x14ac:dyDescent="0.2">
      <c r="A1033" s="31">
        <v>146</v>
      </c>
      <c r="B1033" s="31" t="str">
        <f>[1]Source!F1004</f>
        <v>5.4-1201-1-1/1</v>
      </c>
      <c r="C1033" s="31" t="str">
        <f>[1]Source!G1004</f>
        <v>Сбор случайного мусора по территории</v>
      </c>
      <c r="D1033" s="32" t="str">
        <f>[1]Source!H1004</f>
        <v>100 м2</v>
      </c>
      <c r="E1033" s="4">
        <f>[1]Source!I1004</f>
        <v>2.76</v>
      </c>
      <c r="F1033" s="33"/>
      <c r="G1033" s="34"/>
      <c r="H1033" s="4"/>
      <c r="I1033" s="4"/>
      <c r="J1033" s="33"/>
      <c r="K1033" s="33"/>
      <c r="M1033"/>
      <c r="N1033"/>
      <c r="O1033"/>
      <c r="P1033"/>
      <c r="Q1033"/>
      <c r="AB1033">
        <f>ROUND(([1]Source!BZ1004/100)*ROUND(([1]Source!AF1004*[1]Source!AV1004)*[1]Source!I1004, 2), 2)</f>
        <v>31814.63</v>
      </c>
      <c r="AC1033">
        <f>[1]Source!X1004</f>
        <v>31814.63</v>
      </c>
      <c r="AD1033">
        <f>ROUND(([1]Source!CA1004/100)*ROUND(([1]Source!AF1004*[1]Source!AV1004)*[1]Source!I1004, 2), 2)</f>
        <v>4544.95</v>
      </c>
      <c r="AE1033">
        <f>[1]Source!Y1004</f>
        <v>4544.95</v>
      </c>
      <c r="AF1033">
        <f>ROUND((175/100)*ROUND(([1]Source!AE1004*[1]Source!AV1004)*[1]Source!I1004, 2), 2)</f>
        <v>0</v>
      </c>
      <c r="AG1033">
        <f>ROUND((108/100)*ROUND([1]Source!CS1004*[1]Source!I1004, 2), 2)</f>
        <v>0</v>
      </c>
    </row>
    <row r="1034" spans="1:33" x14ac:dyDescent="0.2">
      <c r="C1034" s="40" t="str">
        <f>"Объем: "&amp;[1]Source!I1004&amp;"=276/"&amp;"100"</f>
        <v>Объем: 2,76=276/100</v>
      </c>
      <c r="M1034"/>
      <c r="N1034"/>
      <c r="O1034"/>
      <c r="P1034"/>
      <c r="Q1034"/>
    </row>
    <row r="1035" spans="1:33" ht="14.25" x14ac:dyDescent="0.2">
      <c r="A1035" s="31"/>
      <c r="B1035" s="31"/>
      <c r="C1035" s="31" t="s">
        <v>34</v>
      </c>
      <c r="D1035" s="32"/>
      <c r="E1035" s="4"/>
      <c r="F1035" s="33">
        <f>[1]Source!AO1004</f>
        <v>12.4</v>
      </c>
      <c r="G1035" s="34" t="str">
        <f>[1]Source!DG1004</f>
        <v>)*4*332</v>
      </c>
      <c r="H1035" s="4">
        <f>[1]Source!AV1004</f>
        <v>1</v>
      </c>
      <c r="I1035" s="4">
        <f>IF([1]Source!BA1004&lt;&gt; 0, [1]Source!BA1004, 1)</f>
        <v>1</v>
      </c>
      <c r="J1035" s="33">
        <f>[1]Source!S1004</f>
        <v>45449.47</v>
      </c>
      <c r="K1035" s="33"/>
      <c r="M1035"/>
      <c r="N1035"/>
      <c r="O1035"/>
      <c r="P1035"/>
      <c r="Q1035"/>
    </row>
    <row r="1036" spans="1:33" ht="14.25" x14ac:dyDescent="0.2">
      <c r="A1036" s="31"/>
      <c r="B1036" s="31"/>
      <c r="C1036" s="31" t="s">
        <v>47</v>
      </c>
      <c r="D1036" s="32"/>
      <c r="E1036" s="4"/>
      <c r="F1036" s="33">
        <f>[1]Source!AL1004</f>
        <v>0.69</v>
      </c>
      <c r="G1036" s="34" t="str">
        <f>[1]Source!DD1004</f>
        <v>)*4*332</v>
      </c>
      <c r="H1036" s="4">
        <f>[1]Source!AW1004</f>
        <v>1</v>
      </c>
      <c r="I1036" s="4">
        <f>IF([1]Source!BC1004&lt;&gt; 0, [1]Source!BC1004, 1)</f>
        <v>1</v>
      </c>
      <c r="J1036" s="33">
        <f>[1]Source!P1004</f>
        <v>2529.04</v>
      </c>
      <c r="K1036" s="33"/>
      <c r="M1036"/>
      <c r="N1036"/>
      <c r="O1036"/>
      <c r="P1036"/>
      <c r="Q1036"/>
    </row>
    <row r="1037" spans="1:33" ht="14.25" x14ac:dyDescent="0.2">
      <c r="A1037" s="31"/>
      <c r="B1037" s="31"/>
      <c r="C1037" s="31" t="s">
        <v>40</v>
      </c>
      <c r="D1037" s="32" t="s">
        <v>39</v>
      </c>
      <c r="E1037" s="4">
        <f>[1]Source!AT1004</f>
        <v>70</v>
      </c>
      <c r="F1037" s="33"/>
      <c r="G1037" s="34"/>
      <c r="H1037" s="4"/>
      <c r="I1037" s="4"/>
      <c r="J1037" s="33">
        <f>SUM(AC1033:AC1036)</f>
        <v>31814.63</v>
      </c>
      <c r="K1037" s="33"/>
      <c r="M1037"/>
      <c r="N1037"/>
      <c r="O1037"/>
      <c r="P1037"/>
      <c r="Q1037"/>
    </row>
    <row r="1038" spans="1:33" ht="14.25" x14ac:dyDescent="0.2">
      <c r="A1038" s="31"/>
      <c r="B1038" s="31"/>
      <c r="C1038" s="31" t="s">
        <v>41</v>
      </c>
      <c r="D1038" s="32" t="s">
        <v>39</v>
      </c>
      <c r="E1038" s="4">
        <f>[1]Source!AU1004</f>
        <v>10</v>
      </c>
      <c r="F1038" s="33"/>
      <c r="G1038" s="34"/>
      <c r="H1038" s="4"/>
      <c r="I1038" s="4"/>
      <c r="J1038" s="33">
        <f>SUM(AE1033:AE1037)</f>
        <v>4544.95</v>
      </c>
      <c r="K1038" s="33"/>
      <c r="M1038"/>
      <c r="N1038"/>
      <c r="O1038"/>
      <c r="P1038"/>
      <c r="Q1038"/>
    </row>
    <row r="1039" spans="1:33" ht="14.25" x14ac:dyDescent="0.2">
      <c r="A1039" s="31"/>
      <c r="B1039" s="31"/>
      <c r="C1039" s="31" t="s">
        <v>42</v>
      </c>
      <c r="D1039" s="32" t="s">
        <v>43</v>
      </c>
      <c r="E1039" s="4">
        <f>[1]Source!AQ1004</f>
        <v>0.05</v>
      </c>
      <c r="F1039" s="33"/>
      <c r="G1039" s="34" t="str">
        <f>[1]Source!DI1004</f>
        <v>)*4*332</v>
      </c>
      <c r="H1039" s="4">
        <f>[1]Source!AV1004</f>
        <v>1</v>
      </c>
      <c r="I1039" s="4"/>
      <c r="J1039" s="33"/>
      <c r="K1039" s="33">
        <f>[1]Source!U1004</f>
        <v>183.26400000000001</v>
      </c>
      <c r="M1039"/>
      <c r="N1039"/>
      <c r="O1039"/>
      <c r="P1039"/>
      <c r="Q1039"/>
    </row>
    <row r="1040" spans="1:33" ht="15" x14ac:dyDescent="0.25">
      <c r="A1040" s="35"/>
      <c r="B1040" s="35"/>
      <c r="C1040" s="35"/>
      <c r="D1040" s="35"/>
      <c r="E1040" s="35"/>
      <c r="F1040" s="35"/>
      <c r="G1040" s="35"/>
      <c r="H1040" s="35"/>
      <c r="I1040" s="36">
        <f>J1035+J1036+J1037+J1038</f>
        <v>84338.09</v>
      </c>
      <c r="J1040" s="36"/>
      <c r="K1040" s="37">
        <f>IF([1]Source!I1004&lt;&gt;0, ROUND(I1040/[1]Source!I1004, 2), 0)</f>
        <v>30557.279999999999</v>
      </c>
      <c r="M1040"/>
      <c r="N1040"/>
      <c r="O1040"/>
      <c r="P1040"/>
      <c r="Q1040"/>
      <c r="AA1040" s="38">
        <f>I1040</f>
        <v>84338.09</v>
      </c>
    </row>
    <row r="1041" spans="1:33" x14ac:dyDescent="0.2">
      <c r="M1041"/>
      <c r="N1041"/>
      <c r="O1041"/>
      <c r="P1041"/>
      <c r="Q1041"/>
    </row>
    <row r="1042" spans="1:33" ht="15" x14ac:dyDescent="0.25">
      <c r="A1042" s="42" t="str">
        <f>CONCATENATE("Итого по разделу: ",IF([1]Source!G1006&lt;&gt;"Новый раздел", [1]Source!G1006, ""))</f>
        <v>Итого по разделу: Содержание деревянного моста.( S= 276 м2 )</v>
      </c>
      <c r="B1042" s="42"/>
      <c r="C1042" s="42"/>
      <c r="D1042" s="42"/>
      <c r="E1042" s="42"/>
      <c r="F1042" s="42"/>
      <c r="G1042" s="42"/>
      <c r="H1042" s="42"/>
      <c r="I1042" s="43">
        <f>SUM(AA1018:AA1041)</f>
        <v>4462674.74</v>
      </c>
      <c r="J1042" s="44"/>
      <c r="K1042" s="47"/>
      <c r="L1042" s="38">
        <f>I1042</f>
        <v>4462674.74</v>
      </c>
      <c r="M1042" s="2">
        <f>ROUND(I1042*$I$4874,2)</f>
        <v>3222974.26</v>
      </c>
      <c r="N1042" s="2">
        <f>ROUND(M1042*1.2/105*100,2)</f>
        <v>3683399.15</v>
      </c>
      <c r="O1042" s="2">
        <f>ROUND(N1042*0.05,2)</f>
        <v>184169.96</v>
      </c>
      <c r="P1042" s="2">
        <f>N1042+O1042</f>
        <v>3867569.11</v>
      </c>
      <c r="Q1042" s="3">
        <v>37</v>
      </c>
      <c r="R1042">
        <v>2</v>
      </c>
      <c r="S1042" s="2">
        <v>712553.51</v>
      </c>
    </row>
    <row r="1043" spans="1:33" x14ac:dyDescent="0.2">
      <c r="M1043"/>
      <c r="N1043"/>
      <c r="O1043"/>
      <c r="P1043"/>
      <c r="Q1043"/>
    </row>
    <row r="1044" spans="1:33" x14ac:dyDescent="0.2">
      <c r="M1044"/>
      <c r="N1044"/>
      <c r="O1044"/>
      <c r="P1044"/>
      <c r="Q1044"/>
    </row>
    <row r="1045" spans="1:33" ht="16.5" x14ac:dyDescent="0.25">
      <c r="A1045" s="29" t="str">
        <f>CONCATENATE("Раздел: ",IF([1]Source!G1036&lt;&gt;"Новый раздел", [1]Source!G1036, ""))</f>
        <v>Раздел: Уход за урнами.( 80 шт.)</v>
      </c>
      <c r="B1045" s="29"/>
      <c r="C1045" s="29"/>
      <c r="D1045" s="29"/>
      <c r="E1045" s="29"/>
      <c r="F1045" s="29"/>
      <c r="G1045" s="29"/>
      <c r="H1045" s="29"/>
      <c r="I1045" s="29"/>
      <c r="J1045" s="29"/>
      <c r="K1045" s="29"/>
      <c r="M1045"/>
      <c r="N1045"/>
      <c r="O1045"/>
      <c r="P1045"/>
      <c r="Q1045"/>
    </row>
    <row r="1046" spans="1:33" ht="42.75" x14ac:dyDescent="0.2">
      <c r="A1046" s="31">
        <v>147</v>
      </c>
      <c r="B1046" s="31" t="str">
        <f>[1]Source!F1040</f>
        <v>5.3-1102-4-1/1</v>
      </c>
      <c r="C1046" s="31" t="str">
        <f>[1]Source!G1040</f>
        <v>Очистка скамеек, садовых диванов, урн, цветочниц, боллардов от снега вручную</v>
      </c>
      <c r="D1046" s="32" t="str">
        <f>[1]Source!H1040</f>
        <v>100 м2</v>
      </c>
      <c r="E1046" s="4">
        <f>[1]Source!I1040</f>
        <v>0.8</v>
      </c>
      <c r="F1046" s="33"/>
      <c r="G1046" s="34"/>
      <c r="H1046" s="4"/>
      <c r="I1046" s="4"/>
      <c r="J1046" s="33"/>
      <c r="K1046" s="33"/>
      <c r="M1046"/>
      <c r="N1046"/>
      <c r="O1046"/>
      <c r="P1046"/>
      <c r="Q1046"/>
      <c r="AB1046">
        <f>ROUND(([1]Source!BZ1040/100)*ROUND(([1]Source!AF1040*[1]Source!AV1040)*[1]Source!I1040, 2), 2)</f>
        <v>196630.97</v>
      </c>
      <c r="AC1046">
        <f>[1]Source!X1040</f>
        <v>196630.97</v>
      </c>
      <c r="AD1046">
        <f>ROUND(([1]Source!CA1040/100)*ROUND(([1]Source!AF1040*[1]Source!AV1040)*[1]Source!I1040, 2), 2)</f>
        <v>28090.14</v>
      </c>
      <c r="AE1046">
        <f>[1]Source!Y1040</f>
        <v>28090.14</v>
      </c>
      <c r="AF1046">
        <f>ROUND((175/100)*ROUND(([1]Source!AE1040*[1]Source!AV1040)*[1]Source!I1040, 2), 2)</f>
        <v>0</v>
      </c>
      <c r="AG1046">
        <f>ROUND((108/100)*ROUND([1]Source!CS1040*[1]Source!I1040, 2), 2)</f>
        <v>0</v>
      </c>
    </row>
    <row r="1047" spans="1:33" x14ac:dyDescent="0.2">
      <c r="C1047" s="40" t="str">
        <f>"Объем: "&amp;[1]Source!I1040&amp;"=80/"&amp;"100"</f>
        <v>Объем: 0,8=80/100</v>
      </c>
      <c r="M1047"/>
      <c r="N1047"/>
      <c r="O1047"/>
      <c r="P1047"/>
      <c r="Q1047"/>
    </row>
    <row r="1048" spans="1:33" ht="14.25" x14ac:dyDescent="0.2">
      <c r="A1048" s="31"/>
      <c r="B1048" s="31"/>
      <c r="C1048" s="31" t="s">
        <v>34</v>
      </c>
      <c r="D1048" s="32"/>
      <c r="E1048" s="4"/>
      <c r="F1048" s="33">
        <f>[1]Source!AO1040</f>
        <v>696.68</v>
      </c>
      <c r="G1048" s="34" t="str">
        <f>[1]Source!DG1040</f>
        <v>)*3*168</v>
      </c>
      <c r="H1048" s="4">
        <f>[1]Source!AV1040</f>
        <v>1</v>
      </c>
      <c r="I1048" s="4">
        <f>IF([1]Source!BA1040&lt;&gt; 0, [1]Source!BA1040, 1)</f>
        <v>1</v>
      </c>
      <c r="J1048" s="33">
        <f>[1]Source!S1040</f>
        <v>280901.38</v>
      </c>
      <c r="K1048" s="33"/>
      <c r="M1048"/>
      <c r="N1048"/>
      <c r="O1048"/>
      <c r="P1048"/>
      <c r="Q1048"/>
    </row>
    <row r="1049" spans="1:33" ht="14.25" x14ac:dyDescent="0.2">
      <c r="A1049" s="31"/>
      <c r="B1049" s="31"/>
      <c r="C1049" s="31" t="s">
        <v>40</v>
      </c>
      <c r="D1049" s="32" t="s">
        <v>39</v>
      </c>
      <c r="E1049" s="4">
        <f>[1]Source!AT1040</f>
        <v>70</v>
      </c>
      <c r="F1049" s="33"/>
      <c r="G1049" s="34"/>
      <c r="H1049" s="4"/>
      <c r="I1049" s="4"/>
      <c r="J1049" s="33">
        <f>SUM(AC1046:AC1048)</f>
        <v>196630.97</v>
      </c>
      <c r="K1049" s="33"/>
      <c r="M1049"/>
      <c r="N1049"/>
      <c r="O1049"/>
      <c r="P1049"/>
      <c r="Q1049"/>
    </row>
    <row r="1050" spans="1:33" ht="14.25" x14ac:dyDescent="0.2">
      <c r="A1050" s="31"/>
      <c r="B1050" s="31"/>
      <c r="C1050" s="31" t="s">
        <v>41</v>
      </c>
      <c r="D1050" s="32" t="s">
        <v>39</v>
      </c>
      <c r="E1050" s="4">
        <f>[1]Source!AU1040</f>
        <v>10</v>
      </c>
      <c r="F1050" s="33"/>
      <c r="G1050" s="34"/>
      <c r="H1050" s="4"/>
      <c r="I1050" s="4"/>
      <c r="J1050" s="33">
        <f>SUM(AE1046:AE1049)</f>
        <v>28090.14</v>
      </c>
      <c r="K1050" s="33"/>
      <c r="M1050"/>
      <c r="N1050"/>
      <c r="O1050"/>
      <c r="P1050"/>
      <c r="Q1050"/>
    </row>
    <row r="1051" spans="1:33" ht="14.25" x14ac:dyDescent="0.2">
      <c r="A1051" s="31"/>
      <c r="B1051" s="31"/>
      <c r="C1051" s="31" t="s">
        <v>42</v>
      </c>
      <c r="D1051" s="32" t="s">
        <v>43</v>
      </c>
      <c r="E1051" s="4">
        <f>[1]Source!AQ1040</f>
        <v>2.81</v>
      </c>
      <c r="F1051" s="33"/>
      <c r="G1051" s="34" t="str">
        <f>[1]Source!DI1040</f>
        <v>)*3*168</v>
      </c>
      <c r="H1051" s="4">
        <f>[1]Source!AV1040</f>
        <v>1</v>
      </c>
      <c r="I1051" s="4"/>
      <c r="J1051" s="33"/>
      <c r="K1051" s="33">
        <f>[1]Source!U1040</f>
        <v>1132.992</v>
      </c>
      <c r="M1051"/>
      <c r="N1051"/>
      <c r="O1051"/>
      <c r="P1051"/>
      <c r="Q1051"/>
    </row>
    <row r="1052" spans="1:33" ht="15" x14ac:dyDescent="0.25">
      <c r="A1052" s="35"/>
      <c r="B1052" s="35"/>
      <c r="C1052" s="35"/>
      <c r="D1052" s="35"/>
      <c r="E1052" s="35"/>
      <c r="F1052" s="35"/>
      <c r="G1052" s="35"/>
      <c r="H1052" s="35"/>
      <c r="I1052" s="36">
        <f>J1048+J1049+J1050</f>
        <v>505622.49</v>
      </c>
      <c r="J1052" s="36"/>
      <c r="K1052" s="37">
        <f>IF([1]Source!I1040&lt;&gt;0, ROUND(I1052/[1]Source!I1040, 2), 0)</f>
        <v>632028.11</v>
      </c>
      <c r="M1052"/>
      <c r="N1052"/>
      <c r="O1052"/>
      <c r="P1052"/>
      <c r="Q1052"/>
      <c r="AA1052" s="38">
        <f>I1052</f>
        <v>505622.49</v>
      </c>
    </row>
    <row r="1053" spans="1:33" ht="14.25" x14ac:dyDescent="0.2">
      <c r="A1053" s="31">
        <v>148</v>
      </c>
      <c r="B1053" s="31" t="str">
        <f>[1]Source!F1041</f>
        <v>калькуляция</v>
      </c>
      <c r="C1053" s="31" t="str">
        <f>[1]Source!G1041</f>
        <v>Замена пакетов</v>
      </c>
      <c r="D1053" s="32" t="str">
        <f>[1]Source!H1041</f>
        <v>шт.</v>
      </c>
      <c r="E1053" s="4">
        <f>[1]Source!I1041</f>
        <v>80</v>
      </c>
      <c r="F1053" s="33"/>
      <c r="G1053" s="34"/>
      <c r="H1053" s="4"/>
      <c r="I1053" s="4"/>
      <c r="J1053" s="33"/>
      <c r="K1053" s="33"/>
      <c r="M1053"/>
      <c r="N1053"/>
      <c r="O1053"/>
      <c r="P1053"/>
      <c r="Q1053"/>
      <c r="AB1053">
        <f>ROUND(([1]Source!BZ1041/100)*ROUND(([1]Source!AF1041*[1]Source!AV1041)*[1]Source!I1041, 2), 2)</f>
        <v>0</v>
      </c>
      <c r="AC1053">
        <f>[1]Source!X1041</f>
        <v>0</v>
      </c>
      <c r="AD1053">
        <f>ROUND(([1]Source!CA1041/100)*ROUND(([1]Source!AF1041*[1]Source!AV1041)*[1]Source!I1041, 2), 2)</f>
        <v>0</v>
      </c>
      <c r="AE1053">
        <f>[1]Source!Y1041</f>
        <v>0</v>
      </c>
      <c r="AF1053">
        <f>ROUND((175/100)*ROUND(([1]Source!AE1041*[1]Source!AV1041)*[1]Source!I1041, 2), 2)</f>
        <v>0</v>
      </c>
      <c r="AG1053">
        <f>ROUND((108/100)*ROUND([1]Source!CS1041*[1]Source!I1041, 2), 2)</f>
        <v>0</v>
      </c>
    </row>
    <row r="1054" spans="1:33" ht="14.25" x14ac:dyDescent="0.2">
      <c r="A1054" s="31"/>
      <c r="B1054" s="31"/>
      <c r="C1054" s="31" t="s">
        <v>34</v>
      </c>
      <c r="D1054" s="32"/>
      <c r="E1054" s="4"/>
      <c r="F1054" s="33">
        <f>[1]Source!AO1041</f>
        <v>6.12</v>
      </c>
      <c r="G1054" s="34" t="str">
        <f>[1]Source!DG1041</f>
        <v>)*3*332</v>
      </c>
      <c r="H1054" s="4">
        <f>[1]Source!AV1041</f>
        <v>1</v>
      </c>
      <c r="I1054" s="4">
        <f>IF([1]Source!BA1041&lt;&gt; 0, [1]Source!BA1041, 1)</f>
        <v>1</v>
      </c>
      <c r="J1054" s="33">
        <f>[1]Source!S1041</f>
        <v>487641.59999999998</v>
      </c>
      <c r="K1054" s="33"/>
      <c r="M1054"/>
      <c r="N1054"/>
      <c r="O1054"/>
      <c r="P1054"/>
      <c r="Q1054"/>
    </row>
    <row r="1055" spans="1:33" ht="14.25" x14ac:dyDescent="0.2">
      <c r="A1055" s="31" t="s">
        <v>76</v>
      </c>
      <c r="B1055" s="31" t="str">
        <f>[1]Source!F1042</f>
        <v>цена поставщика</v>
      </c>
      <c r="C1055" s="31" t="str">
        <f>[1]Source!G1042</f>
        <v>Пакет для мусора, 240 л</v>
      </c>
      <c r="D1055" s="32" t="str">
        <f>[1]Source!H1042</f>
        <v>шт.</v>
      </c>
      <c r="E1055" s="4">
        <f>[1]Source!I1042</f>
        <v>79680</v>
      </c>
      <c r="F1055" s="33">
        <f>[1]Source!AK1042</f>
        <v>17.88</v>
      </c>
      <c r="G1055" s="39" t="s">
        <v>77</v>
      </c>
      <c r="H1055" s="4">
        <f>[1]Source!AW1042</f>
        <v>1</v>
      </c>
      <c r="I1055" s="4">
        <f>IF([1]Source!BC1042&lt;&gt; 0, [1]Source!BC1042, 1)</f>
        <v>1</v>
      </c>
      <c r="J1055" s="33">
        <f>[1]Source!O1042</f>
        <v>1424678.4</v>
      </c>
      <c r="K1055" s="33"/>
      <c r="M1055"/>
      <c r="N1055"/>
      <c r="O1055"/>
      <c r="P1055"/>
      <c r="Q1055"/>
      <c r="AB1055">
        <f>ROUND(([1]Source!BZ1042/100)*ROUND(([1]Source!AF1042*[1]Source!AV1042)*[1]Source!I1042, 2), 2)</f>
        <v>0</v>
      </c>
      <c r="AC1055">
        <f>[1]Source!X1042</f>
        <v>0</v>
      </c>
      <c r="AD1055">
        <f>ROUND(([1]Source!CA1042/100)*ROUND(([1]Source!AF1042*[1]Source!AV1042)*[1]Source!I1042, 2), 2)</f>
        <v>0</v>
      </c>
      <c r="AE1055">
        <f>[1]Source!Y1042</f>
        <v>0</v>
      </c>
      <c r="AF1055">
        <f>ROUND((175/100)*ROUND(([1]Source!AE1042*[1]Source!AV1042)*[1]Source!I1042, 2), 2)</f>
        <v>0</v>
      </c>
      <c r="AG1055">
        <f>ROUND((108/100)*ROUND([1]Source!CS1042*[1]Source!I1042, 2), 2)</f>
        <v>0</v>
      </c>
    </row>
    <row r="1056" spans="1:33" ht="15" x14ac:dyDescent="0.25">
      <c r="A1056" s="35"/>
      <c r="B1056" s="35"/>
      <c r="C1056" s="35"/>
      <c r="D1056" s="35"/>
      <c r="E1056" s="35"/>
      <c r="F1056" s="35"/>
      <c r="G1056" s="35"/>
      <c r="H1056" s="35"/>
      <c r="I1056" s="36">
        <f>J1054+SUM(J1055:J1055)</f>
        <v>1912320</v>
      </c>
      <c r="J1056" s="36"/>
      <c r="K1056" s="37">
        <f>IF([1]Source!I1041&lt;&gt;0, ROUND(I1056/[1]Source!I1041, 2), 0)</f>
        <v>23904</v>
      </c>
      <c r="M1056"/>
      <c r="N1056"/>
      <c r="O1056"/>
      <c r="P1056"/>
      <c r="Q1056"/>
      <c r="AA1056" s="38">
        <f>I1056</f>
        <v>1912320</v>
      </c>
    </row>
    <row r="1057" spans="1:42" x14ac:dyDescent="0.2">
      <c r="M1057"/>
      <c r="N1057"/>
      <c r="O1057"/>
      <c r="P1057"/>
      <c r="Q1057"/>
    </row>
    <row r="1058" spans="1:42" ht="15" x14ac:dyDescent="0.25">
      <c r="A1058" s="42" t="str">
        <f>CONCATENATE("Итого по разделу: ",IF([1]Source!G1044&lt;&gt;"Новый раздел", [1]Source!G1044, ""))</f>
        <v>Итого по разделу: Уход за урнами.( 80 шт.)</v>
      </c>
      <c r="B1058" s="42"/>
      <c r="C1058" s="42"/>
      <c r="D1058" s="42"/>
      <c r="E1058" s="42"/>
      <c r="F1058" s="42"/>
      <c r="G1058" s="42"/>
      <c r="H1058" s="42"/>
      <c r="I1058" s="43">
        <f>SUM(AA1045:AA1057)</f>
        <v>2417942.4900000002</v>
      </c>
      <c r="J1058" s="44"/>
      <c r="K1058" s="47"/>
      <c r="L1058" s="38">
        <f>I1058</f>
        <v>2417942.4900000002</v>
      </c>
      <c r="M1058" s="2">
        <f>ROUND(I1058*$I$4874,2)</f>
        <v>1746254.62</v>
      </c>
      <c r="N1058" s="2">
        <f>ROUND(M1058*1.2/105*100,2)</f>
        <v>1995719.57</v>
      </c>
      <c r="O1058" s="2">
        <f>ROUND(N1058*0.05,2)</f>
        <v>99785.98</v>
      </c>
      <c r="P1058" s="2">
        <f>N1058+O1058</f>
        <v>2095505.55</v>
      </c>
      <c r="Q1058" s="3">
        <v>38</v>
      </c>
      <c r="R1058">
        <v>2</v>
      </c>
      <c r="S1058" s="2">
        <v>387971.57</v>
      </c>
    </row>
    <row r="1059" spans="1:42" x14ac:dyDescent="0.2">
      <c r="M1059"/>
      <c r="N1059"/>
      <c r="O1059"/>
      <c r="P1059"/>
      <c r="Q1059"/>
    </row>
    <row r="1060" spans="1:42" x14ac:dyDescent="0.2">
      <c r="M1060"/>
      <c r="N1060"/>
      <c r="O1060"/>
      <c r="P1060"/>
      <c r="Q1060"/>
    </row>
    <row r="1061" spans="1:42" ht="16.5" x14ac:dyDescent="0.25">
      <c r="A1061" s="29" t="str">
        <f>CONCATENATE("Раздел: ",IF([1]Source!G1074&lt;&gt;"Новый раздел", [1]Source!G1074, ""))</f>
        <v>Раздел: Содержание твердых покрытий и подпорных стенок Москворецкой набережной.( S = 1889,1 м2 + 506,82 м2).</v>
      </c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M1061"/>
      <c r="N1061"/>
      <c r="O1061"/>
      <c r="P1061"/>
      <c r="Q1061"/>
      <c r="AP1061" s="30" t="str">
        <f>CONCATENATE("Раздел: ",IF([1]Source!G1074&lt;&gt;"Новый раздел", [1]Source!G1074, ""))</f>
        <v>Раздел: Содержание твердых покрытий и подпорных стенок Москворецкой набережной.( S = 1889,1 м2 + 506,82 м2).</v>
      </c>
    </row>
    <row r="1062" spans="1:42" x14ac:dyDescent="0.2">
      <c r="M1062"/>
      <c r="N1062"/>
      <c r="O1062"/>
      <c r="P1062"/>
      <c r="Q1062"/>
    </row>
    <row r="1063" spans="1:42" ht="16.5" x14ac:dyDescent="0.25">
      <c r="A1063" s="29" t="str">
        <f>CONCATENATE("Подраздел: ",IF([1]Source!G1078&lt;&gt;"Новый подраздел", [1]Source!G1078, ""))</f>
        <v>Подраздел: Содержание твердых покрытий ( S-1889,1 м2)</v>
      </c>
      <c r="B1063" s="29"/>
      <c r="C1063" s="29"/>
      <c r="D1063" s="29"/>
      <c r="E1063" s="29"/>
      <c r="F1063" s="29"/>
      <c r="G1063" s="29"/>
      <c r="H1063" s="29"/>
      <c r="I1063" s="29"/>
      <c r="J1063" s="29"/>
      <c r="K1063" s="29"/>
      <c r="M1063"/>
      <c r="N1063"/>
      <c r="O1063"/>
      <c r="P1063"/>
      <c r="Q1063"/>
    </row>
    <row r="1064" spans="1:42" ht="42.75" x14ac:dyDescent="0.2">
      <c r="A1064" s="31">
        <v>149</v>
      </c>
      <c r="B1064" s="31" t="str">
        <f>[1]Source!F1082</f>
        <v>калькуляция</v>
      </c>
      <c r="C1064" s="31" t="str">
        <f>[1]Source!G1082</f>
        <v>Подметание  механизированным способом ( S=1889,1м2 *0,7=1322,37 м2)</v>
      </c>
      <c r="D1064" s="32" t="str">
        <f>[1]Source!H1082</f>
        <v>м2</v>
      </c>
      <c r="E1064" s="4">
        <f>[1]Source!I1082</f>
        <v>1322.37</v>
      </c>
      <c r="F1064" s="33"/>
      <c r="G1064" s="34"/>
      <c r="H1064" s="4"/>
      <c r="I1064" s="4"/>
      <c r="J1064" s="33"/>
      <c r="K1064" s="33"/>
      <c r="M1064"/>
      <c r="N1064"/>
      <c r="O1064"/>
      <c r="P1064"/>
      <c r="Q1064"/>
      <c r="AB1064">
        <f>ROUND(([1]Source!BZ1082/100)*ROUND(([1]Source!AF1082*[1]Source!AV1082)*[1]Source!I1082, 2), 2)</f>
        <v>0</v>
      </c>
      <c r="AC1064">
        <f>[1]Source!X1082</f>
        <v>0</v>
      </c>
      <c r="AD1064">
        <f>ROUND(([1]Source!CA1082/100)*ROUND(([1]Source!AF1082*[1]Source!AV1082)*[1]Source!I1082, 2), 2)</f>
        <v>0</v>
      </c>
      <c r="AE1064">
        <f>[1]Source!Y1082</f>
        <v>0</v>
      </c>
      <c r="AF1064">
        <f>ROUND((175/100)*ROUND(([1]Source!AE1082*[1]Source!AV1082)*[1]Source!I1082, 2), 2)</f>
        <v>0</v>
      </c>
      <c r="AG1064">
        <f>ROUND((108/100)*ROUND([1]Source!CS1082*[1]Source!I1082, 2), 2)</f>
        <v>0</v>
      </c>
    </row>
    <row r="1065" spans="1:42" ht="14.25" x14ac:dyDescent="0.2">
      <c r="A1065" s="31"/>
      <c r="B1065" s="31"/>
      <c r="C1065" s="31" t="s">
        <v>33</v>
      </c>
      <c r="D1065" s="32"/>
      <c r="E1065" s="4"/>
      <c r="F1065" s="33">
        <f>[1]Source!AM1082</f>
        <v>0.65</v>
      </c>
      <c r="G1065" s="34" t="str">
        <f>[1]Source!DE1082</f>
        <v>*4*164</v>
      </c>
      <c r="H1065" s="4">
        <f>[1]Source!AV1082</f>
        <v>1</v>
      </c>
      <c r="I1065" s="4">
        <f>IF([1]Source!BB1082&lt;&gt; 0, [1]Source!BB1082, 1)</f>
        <v>1</v>
      </c>
      <c r="J1065" s="33">
        <f>[1]Source!Q1082</f>
        <v>563858.56999999995</v>
      </c>
      <c r="K1065" s="33"/>
      <c r="M1065"/>
      <c r="N1065"/>
      <c r="O1065"/>
      <c r="P1065"/>
      <c r="Q1065"/>
    </row>
    <row r="1066" spans="1:42" ht="15" x14ac:dyDescent="0.25">
      <c r="A1066" s="35"/>
      <c r="B1066" s="35"/>
      <c r="C1066" s="35"/>
      <c r="D1066" s="35"/>
      <c r="E1066" s="35"/>
      <c r="F1066" s="35"/>
      <c r="G1066" s="35"/>
      <c r="H1066" s="35"/>
      <c r="I1066" s="36">
        <f>J1065</f>
        <v>563858.56999999995</v>
      </c>
      <c r="J1066" s="36"/>
      <c r="K1066" s="37">
        <f>IF([1]Source!I1082&lt;&gt;0, ROUND(I1066/[1]Source!I1082, 2), 0)</f>
        <v>426.4</v>
      </c>
      <c r="M1066"/>
      <c r="N1066"/>
      <c r="O1066"/>
      <c r="P1066"/>
      <c r="Q1066"/>
      <c r="AA1066" s="38">
        <f>I1066</f>
        <v>563858.56999999995</v>
      </c>
    </row>
    <row r="1067" spans="1:42" ht="28.5" x14ac:dyDescent="0.2">
      <c r="A1067" s="31">
        <v>150</v>
      </c>
      <c r="B1067" s="31" t="str">
        <f>[1]Source!F1083</f>
        <v>калькуляция</v>
      </c>
      <c r="C1067" s="31" t="str">
        <f>[1]Source!G1083</f>
        <v>Подметание дорожек  вручную ( S=1889,1 м2*0,3=566,73 м2)</v>
      </c>
      <c r="D1067" s="32" t="str">
        <f>[1]Source!H1083</f>
        <v>м2</v>
      </c>
      <c r="E1067" s="4">
        <f>[1]Source!I1083</f>
        <v>566.73</v>
      </c>
      <c r="F1067" s="33"/>
      <c r="G1067" s="34"/>
      <c r="H1067" s="4"/>
      <c r="I1067" s="4"/>
      <c r="J1067" s="33"/>
      <c r="K1067" s="33"/>
      <c r="M1067"/>
      <c r="N1067"/>
      <c r="O1067"/>
      <c r="P1067"/>
      <c r="Q1067"/>
      <c r="AB1067">
        <f>ROUND(([1]Source!BZ1083/100)*ROUND(([1]Source!AF1083*[1]Source!AV1083)*[1]Source!I1083, 2), 2)</f>
        <v>0</v>
      </c>
      <c r="AC1067">
        <f>[1]Source!X1083</f>
        <v>0</v>
      </c>
      <c r="AD1067">
        <f>ROUND(([1]Source!CA1083/100)*ROUND(([1]Source!AF1083*[1]Source!AV1083)*[1]Source!I1083, 2), 2)</f>
        <v>0</v>
      </c>
      <c r="AE1067">
        <f>[1]Source!Y1083</f>
        <v>0</v>
      </c>
      <c r="AF1067">
        <f>ROUND((175/100)*ROUND(([1]Source!AE1083*[1]Source!AV1083)*[1]Source!I1083, 2), 2)</f>
        <v>0</v>
      </c>
      <c r="AG1067">
        <f>ROUND((108/100)*ROUND([1]Source!CS1083*[1]Source!I1083, 2), 2)</f>
        <v>0</v>
      </c>
    </row>
    <row r="1068" spans="1:42" ht="14.25" x14ac:dyDescent="0.2">
      <c r="A1068" s="31"/>
      <c r="B1068" s="31"/>
      <c r="C1068" s="31" t="s">
        <v>34</v>
      </c>
      <c r="D1068" s="32"/>
      <c r="E1068" s="4"/>
      <c r="F1068" s="33">
        <f>[1]Source!AO1083</f>
        <v>1.32</v>
      </c>
      <c r="G1068" s="34" t="str">
        <f>[1]Source!DG1083</f>
        <v>*4*164</v>
      </c>
      <c r="H1068" s="4">
        <f>[1]Source!AV1083</f>
        <v>1</v>
      </c>
      <c r="I1068" s="4">
        <f>IF([1]Source!BA1083&lt;&gt; 0, [1]Source!BA1083, 1)</f>
        <v>1</v>
      </c>
      <c r="J1068" s="33">
        <f>[1]Source!S1083</f>
        <v>490742.84</v>
      </c>
      <c r="K1068" s="33"/>
      <c r="M1068"/>
      <c r="N1068"/>
      <c r="O1068"/>
      <c r="P1068"/>
      <c r="Q1068"/>
    </row>
    <row r="1069" spans="1:42" ht="15" x14ac:dyDescent="0.25">
      <c r="A1069" s="35"/>
      <c r="B1069" s="35"/>
      <c r="C1069" s="35"/>
      <c r="D1069" s="35"/>
      <c r="E1069" s="35"/>
      <c r="F1069" s="35"/>
      <c r="G1069" s="35"/>
      <c r="H1069" s="35"/>
      <c r="I1069" s="36">
        <f>J1068</f>
        <v>490742.84</v>
      </c>
      <c r="J1069" s="36"/>
      <c r="K1069" s="37">
        <f>IF([1]Source!I1083&lt;&gt;0, ROUND(I1069/[1]Source!I1083, 2), 0)</f>
        <v>865.92</v>
      </c>
      <c r="M1069"/>
      <c r="N1069"/>
      <c r="O1069"/>
      <c r="P1069"/>
      <c r="Q1069"/>
      <c r="AA1069" s="38">
        <f>I1069</f>
        <v>490742.84</v>
      </c>
    </row>
    <row r="1070" spans="1:42" ht="28.5" x14ac:dyDescent="0.2">
      <c r="A1070" s="31">
        <v>151</v>
      </c>
      <c r="B1070" s="31" t="str">
        <f>[1]Source!F1084</f>
        <v>калькуляция</v>
      </c>
      <c r="C1070" s="31" t="str">
        <f>[1]Source!G1084</f>
        <v>Мытье дорожек  механизированным способом( 30% от 1889,1 м2)</v>
      </c>
      <c r="D1070" s="32" t="str">
        <f>[1]Source!H1084</f>
        <v>м2</v>
      </c>
      <c r="E1070" s="4">
        <f>[1]Source!I1084</f>
        <v>566.73</v>
      </c>
      <c r="F1070" s="33"/>
      <c r="G1070" s="34"/>
      <c r="H1070" s="4"/>
      <c r="I1070" s="4"/>
      <c r="J1070" s="33"/>
      <c r="K1070" s="33"/>
      <c r="M1070"/>
      <c r="N1070"/>
      <c r="O1070"/>
      <c r="P1070"/>
      <c r="Q1070"/>
      <c r="AB1070">
        <f>ROUND(([1]Source!BZ1084/100)*ROUND(([1]Source!AF1084*[1]Source!AV1084)*[1]Source!I1084, 2), 2)</f>
        <v>0</v>
      </c>
      <c r="AC1070">
        <f>[1]Source!X1084</f>
        <v>0</v>
      </c>
      <c r="AD1070">
        <f>ROUND(([1]Source!CA1084/100)*ROUND(([1]Source!AF1084*[1]Source!AV1084)*[1]Source!I1084, 2), 2)</f>
        <v>0</v>
      </c>
      <c r="AE1070">
        <f>[1]Source!Y1084</f>
        <v>0</v>
      </c>
      <c r="AF1070">
        <f>ROUND((175/100)*ROUND(([1]Source!AE1084*[1]Source!AV1084)*[1]Source!I1084, 2), 2)</f>
        <v>0</v>
      </c>
      <c r="AG1070">
        <f>ROUND((108/100)*ROUND([1]Source!CS1084*[1]Source!I1084, 2), 2)</f>
        <v>0</v>
      </c>
    </row>
    <row r="1071" spans="1:42" ht="14.25" x14ac:dyDescent="0.2">
      <c r="A1071" s="31"/>
      <c r="B1071" s="31"/>
      <c r="C1071" s="31" t="s">
        <v>33</v>
      </c>
      <c r="D1071" s="32"/>
      <c r="E1071" s="4"/>
      <c r="F1071" s="33">
        <f>[1]Source!AM1084</f>
        <v>3.28</v>
      </c>
      <c r="G1071" s="34" t="str">
        <f>[1]Source!DE1084</f>
        <v>*1*164</v>
      </c>
      <c r="H1071" s="4">
        <f>[1]Source!AV1084</f>
        <v>1</v>
      </c>
      <c r="I1071" s="4">
        <f>IF([1]Source!BB1084&lt;&gt; 0, [1]Source!BB1084, 1)</f>
        <v>1</v>
      </c>
      <c r="J1071" s="33">
        <f>[1]Source!Q1084</f>
        <v>304855.40000000002</v>
      </c>
      <c r="K1071" s="33"/>
      <c r="M1071"/>
      <c r="N1071"/>
      <c r="O1071"/>
      <c r="P1071"/>
      <c r="Q1071"/>
    </row>
    <row r="1072" spans="1:42" ht="57" x14ac:dyDescent="0.2">
      <c r="A1072" s="31" t="s">
        <v>78</v>
      </c>
      <c r="B1072" s="31" t="str">
        <f>[1]Source!F1085</f>
        <v>цена поставщика</v>
      </c>
      <c r="C1072" s="31" t="str">
        <f>[1]Source!G1085</f>
        <v>Средство для механизированной мойки дорожных покрытий в зимнее время -ПГМ Жидкий хлористый кальций</v>
      </c>
      <c r="D1072" s="32" t="str">
        <f>[1]Source!H1085</f>
        <v>л</v>
      </c>
      <c r="E1072" s="4">
        <f>[1]Source!I1085</f>
        <v>27.883116000000001</v>
      </c>
      <c r="F1072" s="33">
        <f>[1]Source!AK1085</f>
        <v>11.77</v>
      </c>
      <c r="G1072" s="39" t="s">
        <v>79</v>
      </c>
      <c r="H1072" s="4">
        <f>[1]Source!AW1085</f>
        <v>1</v>
      </c>
      <c r="I1072" s="4">
        <f>IF([1]Source!BC1085&lt;&gt; 0, [1]Source!BC1085, 1)</f>
        <v>1</v>
      </c>
      <c r="J1072" s="33">
        <f>[1]Source!O1085</f>
        <v>328.18</v>
      </c>
      <c r="K1072" s="33"/>
      <c r="M1072"/>
      <c r="N1072"/>
      <c r="O1072"/>
      <c r="P1072"/>
      <c r="Q1072"/>
      <c r="AB1072">
        <f>ROUND(([1]Source!BZ1085/100)*ROUND(([1]Source!AF1085*[1]Source!AV1085)*[1]Source!I1085, 2), 2)</f>
        <v>0</v>
      </c>
      <c r="AC1072">
        <f>[1]Source!X1085</f>
        <v>0</v>
      </c>
      <c r="AD1072">
        <f>ROUND(([1]Source!CA1085/100)*ROUND(([1]Source!AF1085*[1]Source!AV1085)*[1]Source!I1085, 2), 2)</f>
        <v>0</v>
      </c>
      <c r="AE1072">
        <f>[1]Source!Y1085</f>
        <v>0</v>
      </c>
      <c r="AF1072">
        <f>ROUND((175/100)*ROUND(([1]Source!AE1085*[1]Source!AV1085)*[1]Source!I1085, 2), 2)</f>
        <v>0</v>
      </c>
      <c r="AG1072">
        <f>ROUND((108/100)*ROUND([1]Source!CS1085*[1]Source!I1085, 2), 2)</f>
        <v>0</v>
      </c>
    </row>
    <row r="1073" spans="1:33" ht="15" x14ac:dyDescent="0.25">
      <c r="A1073" s="35"/>
      <c r="B1073" s="35"/>
      <c r="C1073" s="35"/>
      <c r="D1073" s="35"/>
      <c r="E1073" s="35"/>
      <c r="F1073" s="35"/>
      <c r="G1073" s="35"/>
      <c r="H1073" s="35"/>
      <c r="I1073" s="36">
        <f>J1071+SUM(J1072:J1072)</f>
        <v>305183.58</v>
      </c>
      <c r="J1073" s="36"/>
      <c r="K1073" s="37">
        <f>IF([1]Source!I1084&lt;&gt;0, ROUND(I1073/[1]Source!I1084, 2), 0)</f>
        <v>538.5</v>
      </c>
      <c r="M1073"/>
      <c r="N1073"/>
      <c r="O1073"/>
      <c r="P1073"/>
      <c r="Q1073"/>
      <c r="AA1073" s="38">
        <f>I1073</f>
        <v>305183.58</v>
      </c>
    </row>
    <row r="1074" spans="1:33" ht="42.75" x14ac:dyDescent="0.2">
      <c r="A1074" s="31">
        <v>152</v>
      </c>
      <c r="B1074" s="31" t="str">
        <f>[1]Source!F1086</f>
        <v>5.3-1102-12-1/1</v>
      </c>
      <c r="C1074" s="31" t="str">
        <f>[1]Source!G1086</f>
        <v>Уборка снега средствами малой механизации ( 1889,1 м2 *0,7 = 1322,37м2)</v>
      </c>
      <c r="D1074" s="32" t="str">
        <f>[1]Source!H1086</f>
        <v>1000 м2</v>
      </c>
      <c r="E1074" s="4">
        <f>[1]Source!I1086</f>
        <v>1.32237</v>
      </c>
      <c r="F1074" s="33"/>
      <c r="G1074" s="34"/>
      <c r="H1074" s="4"/>
      <c r="I1074" s="4"/>
      <c r="J1074" s="33"/>
      <c r="K1074" s="33"/>
      <c r="M1074"/>
      <c r="N1074"/>
      <c r="O1074"/>
      <c r="P1074"/>
      <c r="Q1074"/>
      <c r="AB1074">
        <f>ROUND(([1]Source!BZ1086/100)*ROUND(([1]Source!AF1086*[1]Source!AV1086)*[1]Source!I1086, 2), 2)</f>
        <v>0</v>
      </c>
      <c r="AC1074">
        <f>[1]Source!X1086</f>
        <v>0</v>
      </c>
      <c r="AD1074">
        <f>ROUND(([1]Source!CA1086/100)*ROUND(([1]Source!AF1086*[1]Source!AV1086)*[1]Source!I1086, 2), 2)</f>
        <v>0</v>
      </c>
      <c r="AE1074">
        <f>[1]Source!Y1086</f>
        <v>0</v>
      </c>
      <c r="AF1074">
        <f>ROUND((175/100)*ROUND(([1]Source!AE1086*[1]Source!AV1086)*[1]Source!I1086, 2), 2)</f>
        <v>366974.18</v>
      </c>
      <c r="AG1074">
        <f>ROUND((108/100)*ROUND([1]Source!CS1086*[1]Source!I1086, 2), 2)</f>
        <v>226475.49</v>
      </c>
    </row>
    <row r="1075" spans="1:33" x14ac:dyDescent="0.2">
      <c r="C1075" s="40" t="str">
        <f>"Объем: "&amp;[1]Source!I1086&amp;"=1322,37/"&amp;"1000"</f>
        <v>Объем: 1,32237=1322,37/1000</v>
      </c>
      <c r="M1075"/>
      <c r="N1075"/>
      <c r="O1075"/>
      <c r="P1075"/>
      <c r="Q1075"/>
    </row>
    <row r="1076" spans="1:33" ht="14.25" x14ac:dyDescent="0.2">
      <c r="A1076" s="31"/>
      <c r="B1076" s="31"/>
      <c r="C1076" s="31" t="s">
        <v>33</v>
      </c>
      <c r="D1076" s="32"/>
      <c r="E1076" s="4"/>
      <c r="F1076" s="33">
        <f>[1]Source!AM1086</f>
        <v>708.24</v>
      </c>
      <c r="G1076" s="34" t="str">
        <f>[1]Source!DE1086</f>
        <v>*4*168</v>
      </c>
      <c r="H1076" s="4">
        <f>[1]Source!AV1086</f>
        <v>1</v>
      </c>
      <c r="I1076" s="4">
        <f>IF([1]Source!BB1086&lt;&gt; 0, [1]Source!BB1086, 1)</f>
        <v>1</v>
      </c>
      <c r="J1076" s="33">
        <f>[1]Source!Q1086</f>
        <v>629365.18000000005</v>
      </c>
      <c r="K1076" s="33"/>
      <c r="M1076"/>
      <c r="N1076"/>
      <c r="O1076"/>
      <c r="P1076"/>
      <c r="Q1076"/>
    </row>
    <row r="1077" spans="1:33" ht="14.25" x14ac:dyDescent="0.2">
      <c r="A1077" s="31"/>
      <c r="B1077" s="31"/>
      <c r="C1077" s="31" t="s">
        <v>37</v>
      </c>
      <c r="D1077" s="32"/>
      <c r="E1077" s="4"/>
      <c r="F1077" s="33">
        <f>[1]Source!AN1086</f>
        <v>235.98</v>
      </c>
      <c r="G1077" s="34" t="str">
        <f>[1]Source!DF1086</f>
        <v>*4*168</v>
      </c>
      <c r="H1077" s="4">
        <f>[1]Source!AV1086</f>
        <v>1</v>
      </c>
      <c r="I1077" s="4">
        <f>IF([1]Source!BS1086&lt;&gt; 0, [1]Source!BS1086, 1)</f>
        <v>1</v>
      </c>
      <c r="J1077" s="41">
        <f>[1]Source!R1086</f>
        <v>209699.53</v>
      </c>
      <c r="K1077" s="33"/>
      <c r="M1077"/>
      <c r="N1077"/>
      <c r="O1077"/>
      <c r="P1077"/>
      <c r="Q1077"/>
    </row>
    <row r="1078" spans="1:33" ht="14.25" x14ac:dyDescent="0.2">
      <c r="A1078" s="31"/>
      <c r="B1078" s="31"/>
      <c r="C1078" s="31" t="s">
        <v>38</v>
      </c>
      <c r="D1078" s="32" t="s">
        <v>39</v>
      </c>
      <c r="E1078" s="4">
        <f>108</f>
        <v>108</v>
      </c>
      <c r="F1078" s="33"/>
      <c r="G1078" s="34"/>
      <c r="H1078" s="4"/>
      <c r="I1078" s="4"/>
      <c r="J1078" s="33">
        <f>SUM(AG1074:AG1077)</f>
        <v>226475.49</v>
      </c>
      <c r="K1078" s="33"/>
      <c r="M1078"/>
      <c r="N1078"/>
      <c r="O1078"/>
      <c r="P1078"/>
      <c r="Q1078"/>
    </row>
    <row r="1079" spans="1:33" ht="15" x14ac:dyDescent="0.25">
      <c r="A1079" s="35"/>
      <c r="B1079" s="35"/>
      <c r="C1079" s="35"/>
      <c r="D1079" s="35"/>
      <c r="E1079" s="35"/>
      <c r="F1079" s="35"/>
      <c r="G1079" s="35"/>
      <c r="H1079" s="35"/>
      <c r="I1079" s="36">
        <f>J1076+J1078</f>
        <v>855840.67</v>
      </c>
      <c r="J1079" s="36"/>
      <c r="K1079" s="37">
        <f>IF([1]Source!I1086&lt;&gt;0, ROUND(I1079/[1]Source!I1086, 2), 0)</f>
        <v>647202.12</v>
      </c>
      <c r="M1079"/>
      <c r="N1079"/>
      <c r="O1079"/>
      <c r="P1079"/>
      <c r="Q1079"/>
      <c r="AA1079" s="38">
        <f>I1079</f>
        <v>855840.67</v>
      </c>
    </row>
    <row r="1080" spans="1:33" ht="42.75" x14ac:dyDescent="0.2">
      <c r="A1080" s="31">
        <v>153</v>
      </c>
      <c r="B1080" s="31" t="str">
        <f>[1]Source!F1087</f>
        <v>5.3-1102-8-1/1</v>
      </c>
      <c r="C1080" s="31" t="str">
        <f>[1]Source!G1087</f>
        <v>Уборка свежевыпавшего снега вручную толщиной слоя до 10 см ( 1889,1 м2 * 0,1*0,7*0,5 = 66,12м2 )</v>
      </c>
      <c r="D1080" s="32" t="str">
        <f>[1]Source!H1087</f>
        <v>100 м2</v>
      </c>
      <c r="E1080" s="4">
        <f>[1]Source!I1087</f>
        <v>0.66120000000000001</v>
      </c>
      <c r="F1080" s="33"/>
      <c r="G1080" s="34"/>
      <c r="H1080" s="4"/>
      <c r="I1080" s="4"/>
      <c r="J1080" s="33"/>
      <c r="K1080" s="33"/>
      <c r="M1080"/>
      <c r="N1080"/>
      <c r="O1080"/>
      <c r="P1080"/>
      <c r="Q1080"/>
      <c r="AB1080">
        <f>ROUND(([1]Source!BZ1087/100)*ROUND(([1]Source!AF1087*[1]Source!AV1087)*[1]Source!I1087, 2), 2)</f>
        <v>50122.239999999998</v>
      </c>
      <c r="AC1080">
        <f>[1]Source!X1087</f>
        <v>50122.239999999998</v>
      </c>
      <c r="AD1080">
        <f>ROUND(([1]Source!CA1087/100)*ROUND(([1]Source!AF1087*[1]Source!AV1087)*[1]Source!I1087, 2), 2)</f>
        <v>7160.32</v>
      </c>
      <c r="AE1080">
        <f>[1]Source!Y1087</f>
        <v>7160.32</v>
      </c>
      <c r="AF1080">
        <f>ROUND((175/100)*ROUND(([1]Source!AE1087*[1]Source!AV1087)*[1]Source!I1087, 2), 2)</f>
        <v>0</v>
      </c>
      <c r="AG1080">
        <f>ROUND((108/100)*ROUND([1]Source!CS1087*[1]Source!I1087, 2), 2)</f>
        <v>0</v>
      </c>
    </row>
    <row r="1081" spans="1:33" x14ac:dyDescent="0.2">
      <c r="C1081" s="40" t="str">
        <f>"Объем: "&amp;[1]Source!I1087&amp;"=66,12/"&amp;"100"</f>
        <v>Объем: 0,6612=66,12/100</v>
      </c>
      <c r="M1081"/>
      <c r="N1081"/>
      <c r="O1081"/>
      <c r="P1081"/>
      <c r="Q1081"/>
    </row>
    <row r="1082" spans="1:33" ht="14.25" x14ac:dyDescent="0.2">
      <c r="A1082" s="31"/>
      <c r="B1082" s="31"/>
      <c r="C1082" s="31" t="s">
        <v>34</v>
      </c>
      <c r="D1082" s="32"/>
      <c r="E1082" s="4"/>
      <c r="F1082" s="33">
        <f>[1]Source!AO1087</f>
        <v>161.15</v>
      </c>
      <c r="G1082" s="34" t="str">
        <f>[1]Source!DG1087</f>
        <v>*4*168</v>
      </c>
      <c r="H1082" s="4">
        <f>[1]Source!AV1087</f>
        <v>1</v>
      </c>
      <c r="I1082" s="4">
        <f>IF([1]Source!BA1087&lt;&gt; 0, [1]Source!BA1087, 1)</f>
        <v>1</v>
      </c>
      <c r="J1082" s="33">
        <f>[1]Source!S1087</f>
        <v>71603.199999999997</v>
      </c>
      <c r="K1082" s="33"/>
      <c r="M1082"/>
      <c r="N1082"/>
      <c r="O1082"/>
      <c r="P1082"/>
      <c r="Q1082"/>
    </row>
    <row r="1083" spans="1:33" ht="14.25" x14ac:dyDescent="0.2">
      <c r="A1083" s="31"/>
      <c r="B1083" s="31"/>
      <c r="C1083" s="31" t="s">
        <v>40</v>
      </c>
      <c r="D1083" s="32" t="s">
        <v>39</v>
      </c>
      <c r="E1083" s="4">
        <f>[1]Source!AT1087</f>
        <v>70</v>
      </c>
      <c r="F1083" s="33"/>
      <c r="G1083" s="34"/>
      <c r="H1083" s="4"/>
      <c r="I1083" s="4"/>
      <c r="J1083" s="33">
        <f>SUM(AC1080:AC1082)</f>
        <v>50122.239999999998</v>
      </c>
      <c r="K1083" s="33"/>
      <c r="M1083"/>
      <c r="N1083"/>
      <c r="O1083"/>
      <c r="P1083"/>
      <c r="Q1083"/>
    </row>
    <row r="1084" spans="1:33" ht="14.25" x14ac:dyDescent="0.2">
      <c r="A1084" s="31"/>
      <c r="B1084" s="31"/>
      <c r="C1084" s="31" t="s">
        <v>41</v>
      </c>
      <c r="D1084" s="32" t="s">
        <v>39</v>
      </c>
      <c r="E1084" s="4">
        <f>[1]Source!AU1087</f>
        <v>10</v>
      </c>
      <c r="F1084" s="33"/>
      <c r="G1084" s="34"/>
      <c r="H1084" s="4"/>
      <c r="I1084" s="4"/>
      <c r="J1084" s="33">
        <f>SUM(AE1080:AE1083)</f>
        <v>7160.32</v>
      </c>
      <c r="K1084" s="33"/>
      <c r="M1084"/>
      <c r="N1084"/>
      <c r="O1084"/>
      <c r="P1084"/>
      <c r="Q1084"/>
    </row>
    <row r="1085" spans="1:33" ht="14.25" x14ac:dyDescent="0.2">
      <c r="A1085" s="31"/>
      <c r="B1085" s="31"/>
      <c r="C1085" s="31" t="s">
        <v>42</v>
      </c>
      <c r="D1085" s="32" t="s">
        <v>43</v>
      </c>
      <c r="E1085" s="4">
        <f>[1]Source!AQ1087</f>
        <v>0.65</v>
      </c>
      <c r="F1085" s="33"/>
      <c r="G1085" s="34" t="str">
        <f>[1]Source!DI1087</f>
        <v>*4*168</v>
      </c>
      <c r="H1085" s="4">
        <f>[1]Source!AV1087</f>
        <v>1</v>
      </c>
      <c r="I1085" s="4"/>
      <c r="J1085" s="33"/>
      <c r="K1085" s="33">
        <f>[1]Source!U1087</f>
        <v>288.81216000000001</v>
      </c>
      <c r="M1085"/>
      <c r="N1085"/>
      <c r="O1085"/>
      <c r="P1085"/>
      <c r="Q1085"/>
    </row>
    <row r="1086" spans="1:33" ht="15" x14ac:dyDescent="0.25">
      <c r="A1086" s="35"/>
      <c r="B1086" s="35"/>
      <c r="C1086" s="35"/>
      <c r="D1086" s="35"/>
      <c r="E1086" s="35"/>
      <c r="F1086" s="35"/>
      <c r="G1086" s="35"/>
      <c r="H1086" s="35"/>
      <c r="I1086" s="36">
        <f>J1082+J1083+J1084</f>
        <v>128885.76000000001</v>
      </c>
      <c r="J1086" s="36"/>
      <c r="K1086" s="37">
        <f>IF([1]Source!I1087&lt;&gt;0, ROUND(I1086/[1]Source!I1087, 2), 0)</f>
        <v>194927.04</v>
      </c>
      <c r="M1086"/>
      <c r="N1086"/>
      <c r="O1086"/>
      <c r="P1086"/>
      <c r="Q1086"/>
      <c r="AA1086" s="38">
        <f>I1086</f>
        <v>128885.76000000001</v>
      </c>
    </row>
    <row r="1087" spans="1:33" ht="42.75" x14ac:dyDescent="0.2">
      <c r="A1087" s="31">
        <v>154</v>
      </c>
      <c r="B1087" s="31" t="str">
        <f>[1]Source!F1088</f>
        <v>5.3-1102-8-3/1</v>
      </c>
      <c r="C1087" s="31" t="str">
        <f>[1]Source!G1088</f>
        <v>Уборка слежавшегося снега вручную(S=1889,1 м2*0,1*0,7*0,5=66,12м2)</v>
      </c>
      <c r="D1087" s="32" t="str">
        <f>[1]Source!H1088</f>
        <v>100 м2</v>
      </c>
      <c r="E1087" s="4">
        <f>[1]Source!I1088</f>
        <v>0.66120000000000001</v>
      </c>
      <c r="F1087" s="33"/>
      <c r="G1087" s="34"/>
      <c r="H1087" s="4"/>
      <c r="I1087" s="4"/>
      <c r="J1087" s="33"/>
      <c r="K1087" s="33"/>
      <c r="M1087"/>
      <c r="N1087"/>
      <c r="O1087"/>
      <c r="P1087"/>
      <c r="Q1087"/>
      <c r="AB1087">
        <f>ROUND(([1]Source!BZ1088/100)*ROUND(([1]Source!AF1088*[1]Source!AV1088)*[1]Source!I1088, 2), 2)</f>
        <v>29495.61</v>
      </c>
      <c r="AC1087">
        <f>[1]Source!X1088</f>
        <v>29495.61</v>
      </c>
      <c r="AD1087">
        <f>ROUND(([1]Source!CA1088/100)*ROUND(([1]Source!AF1088*[1]Source!AV1088)*[1]Source!I1088, 2), 2)</f>
        <v>4213.66</v>
      </c>
      <c r="AE1087">
        <f>[1]Source!Y1088</f>
        <v>4213.66</v>
      </c>
      <c r="AF1087">
        <f>ROUND((175/100)*ROUND(([1]Source!AE1088*[1]Source!AV1088)*[1]Source!I1088, 2), 2)</f>
        <v>0</v>
      </c>
      <c r="AG1087">
        <f>ROUND((108/100)*ROUND([1]Source!CS1088*[1]Source!I1088, 2), 2)</f>
        <v>0</v>
      </c>
    </row>
    <row r="1088" spans="1:33" x14ac:dyDescent="0.2">
      <c r="C1088" s="40" t="str">
        <f>"Объем: "&amp;[1]Source!I1088&amp;"=66,12/"&amp;"100"</f>
        <v>Объем: 0,6612=66,12/100</v>
      </c>
      <c r="M1088"/>
      <c r="N1088"/>
      <c r="O1088"/>
      <c r="P1088"/>
      <c r="Q1088"/>
    </row>
    <row r="1089" spans="1:33" ht="14.25" x14ac:dyDescent="0.2">
      <c r="A1089" s="31"/>
      <c r="B1089" s="31"/>
      <c r="C1089" s="31" t="s">
        <v>34</v>
      </c>
      <c r="D1089" s="32"/>
      <c r="E1089" s="4"/>
      <c r="F1089" s="33">
        <f>[1]Source!AO1088</f>
        <v>379.33</v>
      </c>
      <c r="G1089" s="34" t="str">
        <f>[1]Source!DG1088</f>
        <v>)*1*168</v>
      </c>
      <c r="H1089" s="4">
        <f>[1]Source!AV1088</f>
        <v>1</v>
      </c>
      <c r="I1089" s="4">
        <f>IF([1]Source!BA1088&lt;&gt; 0, [1]Source!BA1088, 1)</f>
        <v>1</v>
      </c>
      <c r="J1089" s="33">
        <f>[1]Source!S1088</f>
        <v>42136.58</v>
      </c>
      <c r="K1089" s="33"/>
      <c r="M1089"/>
      <c r="N1089"/>
      <c r="O1089"/>
      <c r="P1089"/>
      <c r="Q1089"/>
    </row>
    <row r="1090" spans="1:33" ht="14.25" x14ac:dyDescent="0.2">
      <c r="A1090" s="31"/>
      <c r="B1090" s="31"/>
      <c r="C1090" s="31" t="s">
        <v>40</v>
      </c>
      <c r="D1090" s="32" t="s">
        <v>39</v>
      </c>
      <c r="E1090" s="4">
        <f>[1]Source!AT1088</f>
        <v>70</v>
      </c>
      <c r="F1090" s="33"/>
      <c r="G1090" s="34"/>
      <c r="H1090" s="4"/>
      <c r="I1090" s="4"/>
      <c r="J1090" s="33">
        <f>SUM(AC1087:AC1089)</f>
        <v>29495.61</v>
      </c>
      <c r="K1090" s="33"/>
      <c r="M1090"/>
      <c r="N1090"/>
      <c r="O1090"/>
      <c r="P1090"/>
      <c r="Q1090"/>
    </row>
    <row r="1091" spans="1:33" ht="14.25" x14ac:dyDescent="0.2">
      <c r="A1091" s="31"/>
      <c r="B1091" s="31"/>
      <c r="C1091" s="31" t="s">
        <v>41</v>
      </c>
      <c r="D1091" s="32" t="s">
        <v>39</v>
      </c>
      <c r="E1091" s="4">
        <f>[1]Source!AU1088</f>
        <v>10</v>
      </c>
      <c r="F1091" s="33"/>
      <c r="G1091" s="34"/>
      <c r="H1091" s="4"/>
      <c r="I1091" s="4"/>
      <c r="J1091" s="33">
        <f>SUM(AE1087:AE1090)</f>
        <v>4213.66</v>
      </c>
      <c r="K1091" s="33"/>
      <c r="M1091"/>
      <c r="N1091"/>
      <c r="O1091"/>
      <c r="P1091"/>
      <c r="Q1091"/>
    </row>
    <row r="1092" spans="1:33" ht="14.25" x14ac:dyDescent="0.2">
      <c r="A1092" s="31"/>
      <c r="B1092" s="31"/>
      <c r="C1092" s="31" t="s">
        <v>42</v>
      </c>
      <c r="D1092" s="32" t="s">
        <v>43</v>
      </c>
      <c r="E1092" s="4">
        <f>[1]Source!AQ1088</f>
        <v>1.53</v>
      </c>
      <c r="F1092" s="33"/>
      <c r="G1092" s="34" t="str">
        <f>[1]Source!DI1088</f>
        <v>)*1*168</v>
      </c>
      <c r="H1092" s="4">
        <f>[1]Source!AV1088</f>
        <v>1</v>
      </c>
      <c r="I1092" s="4"/>
      <c r="J1092" s="33"/>
      <c r="K1092" s="33">
        <f>[1]Source!U1088</f>
        <v>169.95484800000003</v>
      </c>
      <c r="M1092"/>
      <c r="N1092"/>
      <c r="O1092"/>
      <c r="P1092"/>
      <c r="Q1092"/>
    </row>
    <row r="1093" spans="1:33" ht="15" x14ac:dyDescent="0.25">
      <c r="A1093" s="35"/>
      <c r="B1093" s="35"/>
      <c r="C1093" s="35"/>
      <c r="D1093" s="35"/>
      <c r="E1093" s="35"/>
      <c r="F1093" s="35"/>
      <c r="G1093" s="35"/>
      <c r="H1093" s="35"/>
      <c r="I1093" s="36">
        <f>J1089+J1090+J1091</f>
        <v>75845.850000000006</v>
      </c>
      <c r="J1093" s="36"/>
      <c r="K1093" s="37">
        <f>IF([1]Source!I1088&lt;&gt;0, ROUND(I1093/[1]Source!I1088, 2), 0)</f>
        <v>114709.39</v>
      </c>
      <c r="M1093"/>
      <c r="N1093"/>
      <c r="O1093"/>
      <c r="P1093"/>
      <c r="Q1093"/>
      <c r="AA1093" s="38">
        <f>I1093</f>
        <v>75845.850000000006</v>
      </c>
    </row>
    <row r="1094" spans="1:33" ht="42.75" x14ac:dyDescent="0.2">
      <c r="A1094" s="31">
        <v>155</v>
      </c>
      <c r="B1094" s="31" t="str">
        <f>[1]Source!F1089</f>
        <v>5.3-1102-8-1/1</v>
      </c>
      <c r="C1094" s="31" t="str">
        <f>[1]Source!G1089</f>
        <v>Уборка свежевыпавшего снега вручную толщиной слоя до 10 см ( 1889,1 м2 * 0,1*0,3*0,5= 28,34м2 )</v>
      </c>
      <c r="D1094" s="32" t="str">
        <f>[1]Source!H1089</f>
        <v>100 м2</v>
      </c>
      <c r="E1094" s="4">
        <f>[1]Source!I1089</f>
        <v>0.28339999999999999</v>
      </c>
      <c r="F1094" s="33"/>
      <c r="G1094" s="34"/>
      <c r="H1094" s="4"/>
      <c r="I1094" s="4"/>
      <c r="J1094" s="33"/>
      <c r="K1094" s="33"/>
      <c r="M1094"/>
      <c r="N1094"/>
      <c r="O1094"/>
      <c r="P1094"/>
      <c r="Q1094"/>
      <c r="AB1094">
        <f>ROUND(([1]Source!BZ1089/100)*ROUND(([1]Source!AF1089*[1]Source!AV1089)*[1]Source!I1089, 2), 2)</f>
        <v>21483.13</v>
      </c>
      <c r="AC1094">
        <f>[1]Source!X1089</f>
        <v>21483.13</v>
      </c>
      <c r="AD1094">
        <f>ROUND(([1]Source!CA1089/100)*ROUND(([1]Source!AF1089*[1]Source!AV1089)*[1]Source!I1089, 2), 2)</f>
        <v>3069.02</v>
      </c>
      <c r="AE1094">
        <f>[1]Source!Y1089</f>
        <v>3069.02</v>
      </c>
      <c r="AF1094">
        <f>ROUND((175/100)*ROUND(([1]Source!AE1089*[1]Source!AV1089)*[1]Source!I1089, 2), 2)</f>
        <v>0</v>
      </c>
      <c r="AG1094">
        <f>ROUND((108/100)*ROUND([1]Source!CS1089*[1]Source!I1089, 2), 2)</f>
        <v>0</v>
      </c>
    </row>
    <row r="1095" spans="1:33" x14ac:dyDescent="0.2">
      <c r="C1095" s="40" t="str">
        <f>"Объем: "&amp;[1]Source!I1089&amp;"=28,34/"&amp;"100"</f>
        <v>Объем: 0,2834=28,34/100</v>
      </c>
      <c r="M1095"/>
      <c r="N1095"/>
      <c r="O1095"/>
      <c r="P1095"/>
      <c r="Q1095"/>
    </row>
    <row r="1096" spans="1:33" ht="14.25" x14ac:dyDescent="0.2">
      <c r="A1096" s="31"/>
      <c r="B1096" s="31"/>
      <c r="C1096" s="31" t="s">
        <v>34</v>
      </c>
      <c r="D1096" s="32"/>
      <c r="E1096" s="4"/>
      <c r="F1096" s="33">
        <f>[1]Source!AO1089</f>
        <v>161.15</v>
      </c>
      <c r="G1096" s="34" t="str">
        <f>[1]Source!DG1089</f>
        <v>*4*168</v>
      </c>
      <c r="H1096" s="4">
        <f>[1]Source!AV1089</f>
        <v>1</v>
      </c>
      <c r="I1096" s="4">
        <f>IF([1]Source!BA1089&lt;&gt; 0, [1]Source!BA1089, 1)</f>
        <v>1</v>
      </c>
      <c r="J1096" s="33">
        <f>[1]Source!S1089</f>
        <v>30690.18</v>
      </c>
      <c r="K1096" s="33"/>
      <c r="M1096"/>
      <c r="N1096"/>
      <c r="O1096"/>
      <c r="P1096"/>
      <c r="Q1096"/>
    </row>
    <row r="1097" spans="1:33" ht="14.25" x14ac:dyDescent="0.2">
      <c r="A1097" s="31"/>
      <c r="B1097" s="31"/>
      <c r="C1097" s="31" t="s">
        <v>40</v>
      </c>
      <c r="D1097" s="32" t="s">
        <v>39</v>
      </c>
      <c r="E1097" s="4">
        <f>[1]Source!AT1089</f>
        <v>70</v>
      </c>
      <c r="F1097" s="33"/>
      <c r="G1097" s="34"/>
      <c r="H1097" s="4"/>
      <c r="I1097" s="4"/>
      <c r="J1097" s="33">
        <f>SUM(AC1094:AC1096)</f>
        <v>21483.13</v>
      </c>
      <c r="K1097" s="33"/>
      <c r="M1097"/>
      <c r="N1097"/>
      <c r="O1097"/>
      <c r="P1097"/>
      <c r="Q1097"/>
    </row>
    <row r="1098" spans="1:33" ht="14.25" x14ac:dyDescent="0.2">
      <c r="A1098" s="31"/>
      <c r="B1098" s="31"/>
      <c r="C1098" s="31" t="s">
        <v>41</v>
      </c>
      <c r="D1098" s="32" t="s">
        <v>39</v>
      </c>
      <c r="E1098" s="4">
        <f>[1]Source!AU1089</f>
        <v>10</v>
      </c>
      <c r="F1098" s="33"/>
      <c r="G1098" s="34"/>
      <c r="H1098" s="4"/>
      <c r="I1098" s="4"/>
      <c r="J1098" s="33">
        <f>SUM(AE1094:AE1097)</f>
        <v>3069.02</v>
      </c>
      <c r="K1098" s="33"/>
      <c r="M1098"/>
      <c r="N1098"/>
      <c r="O1098"/>
      <c r="P1098"/>
      <c r="Q1098"/>
    </row>
    <row r="1099" spans="1:33" ht="14.25" x14ac:dyDescent="0.2">
      <c r="A1099" s="31"/>
      <c r="B1099" s="31"/>
      <c r="C1099" s="31" t="s">
        <v>42</v>
      </c>
      <c r="D1099" s="32" t="s">
        <v>43</v>
      </c>
      <c r="E1099" s="4">
        <f>[1]Source!AQ1089</f>
        <v>0.65</v>
      </c>
      <c r="F1099" s="33"/>
      <c r="G1099" s="34" t="str">
        <f>[1]Source!DI1089</f>
        <v>*4*168</v>
      </c>
      <c r="H1099" s="4">
        <f>[1]Source!AV1089</f>
        <v>1</v>
      </c>
      <c r="I1099" s="4"/>
      <c r="J1099" s="33"/>
      <c r="K1099" s="33">
        <f>[1]Source!U1089</f>
        <v>123.78912</v>
      </c>
      <c r="M1099"/>
      <c r="N1099"/>
      <c r="O1099"/>
      <c r="P1099"/>
      <c r="Q1099"/>
    </row>
    <row r="1100" spans="1:33" ht="15" x14ac:dyDescent="0.25">
      <c r="A1100" s="35"/>
      <c r="B1100" s="35"/>
      <c r="C1100" s="35"/>
      <c r="D1100" s="35"/>
      <c r="E1100" s="35"/>
      <c r="F1100" s="35"/>
      <c r="G1100" s="35"/>
      <c r="H1100" s="35"/>
      <c r="I1100" s="36">
        <f>J1096+J1097+J1098</f>
        <v>55242.329999999994</v>
      </c>
      <c r="J1100" s="36"/>
      <c r="K1100" s="37">
        <f>IF([1]Source!I1089&lt;&gt;0, ROUND(I1100/[1]Source!I1089, 2), 0)</f>
        <v>194927.06</v>
      </c>
      <c r="M1100"/>
      <c r="N1100"/>
      <c r="O1100"/>
      <c r="P1100"/>
      <c r="Q1100"/>
      <c r="AA1100" s="38">
        <f>I1100</f>
        <v>55242.329999999994</v>
      </c>
    </row>
    <row r="1101" spans="1:33" ht="57" x14ac:dyDescent="0.2">
      <c r="A1101" s="31">
        <v>156</v>
      </c>
      <c r="B1101" s="31" t="str">
        <f>[1]Source!F1090</f>
        <v>5.3-1102-8-2/1</v>
      </c>
      <c r="C1101" s="31" t="str">
        <f>[1]Source!G1090</f>
        <v>Уборка свежевыпавшего снега вручную, добавлять на каждые следующие 10 см увеличения толщины слоя</v>
      </c>
      <c r="D1101" s="32" t="str">
        <f>[1]Source!H1090</f>
        <v>100 м2</v>
      </c>
      <c r="E1101" s="4">
        <f>[1]Source!I1090</f>
        <v>0.28339999999999999</v>
      </c>
      <c r="F1101" s="33"/>
      <c r="G1101" s="34"/>
      <c r="H1101" s="4"/>
      <c r="I1101" s="4"/>
      <c r="J1101" s="33"/>
      <c r="K1101" s="33"/>
      <c r="M1101"/>
      <c r="N1101"/>
      <c r="O1101"/>
      <c r="P1101"/>
      <c r="Q1101"/>
      <c r="AB1101">
        <f>ROUND(([1]Source!BZ1090/100)*ROUND(([1]Source!AF1090*[1]Source!AV1090)*[1]Source!I1090, 2), 2)</f>
        <v>15534.77</v>
      </c>
      <c r="AC1101">
        <f>[1]Source!X1090</f>
        <v>15534.77</v>
      </c>
      <c r="AD1101">
        <f>ROUND(([1]Source!CA1090/100)*ROUND(([1]Source!AF1090*[1]Source!AV1090)*[1]Source!I1090, 2), 2)</f>
        <v>2219.25</v>
      </c>
      <c r="AE1101">
        <f>[1]Source!Y1090</f>
        <v>2219.25</v>
      </c>
      <c r="AF1101">
        <f>ROUND((175/100)*ROUND(([1]Source!AE1090*[1]Source!AV1090)*[1]Source!I1090, 2), 2)</f>
        <v>0</v>
      </c>
      <c r="AG1101">
        <f>ROUND((108/100)*ROUND([1]Source!CS1090*[1]Source!I1090, 2), 2)</f>
        <v>0</v>
      </c>
    </row>
    <row r="1102" spans="1:33" x14ac:dyDescent="0.2">
      <c r="C1102" s="40" t="str">
        <f>"Объем: "&amp;[1]Source!I1090&amp;"=28,34/"&amp;"100"</f>
        <v>Объем: 0,2834=28,34/100</v>
      </c>
      <c r="M1102"/>
      <c r="N1102"/>
      <c r="O1102"/>
      <c r="P1102"/>
      <c r="Q1102"/>
    </row>
    <row r="1103" spans="1:33" ht="14.25" x14ac:dyDescent="0.2">
      <c r="A1103" s="31"/>
      <c r="B1103" s="31"/>
      <c r="C1103" s="31" t="s">
        <v>34</v>
      </c>
      <c r="D1103" s="32"/>
      <c r="E1103" s="4"/>
      <c r="F1103" s="33">
        <f>[1]Source!AO1090</f>
        <v>116.53</v>
      </c>
      <c r="G1103" s="34" t="str">
        <f>[1]Source!DG1090</f>
        <v>*4*168</v>
      </c>
      <c r="H1103" s="4">
        <f>[1]Source!AV1090</f>
        <v>1</v>
      </c>
      <c r="I1103" s="4">
        <f>IF([1]Source!BA1090&lt;&gt; 0, [1]Source!BA1090, 1)</f>
        <v>1</v>
      </c>
      <c r="J1103" s="33">
        <f>[1]Source!S1090</f>
        <v>22192.53</v>
      </c>
      <c r="K1103" s="33"/>
      <c r="M1103"/>
      <c r="N1103"/>
      <c r="O1103"/>
      <c r="P1103"/>
      <c r="Q1103"/>
    </row>
    <row r="1104" spans="1:33" ht="14.25" x14ac:dyDescent="0.2">
      <c r="A1104" s="31"/>
      <c r="B1104" s="31"/>
      <c r="C1104" s="31" t="s">
        <v>40</v>
      </c>
      <c r="D1104" s="32" t="s">
        <v>39</v>
      </c>
      <c r="E1104" s="4">
        <f>[1]Source!AT1090</f>
        <v>70</v>
      </c>
      <c r="F1104" s="33"/>
      <c r="G1104" s="34"/>
      <c r="H1104" s="4"/>
      <c r="I1104" s="4"/>
      <c r="J1104" s="33">
        <f>SUM(AC1101:AC1103)</f>
        <v>15534.77</v>
      </c>
      <c r="K1104" s="33"/>
      <c r="M1104"/>
      <c r="N1104"/>
      <c r="O1104"/>
      <c r="P1104"/>
      <c r="Q1104"/>
    </row>
    <row r="1105" spans="1:33" ht="14.25" x14ac:dyDescent="0.2">
      <c r="A1105" s="31"/>
      <c r="B1105" s="31"/>
      <c r="C1105" s="31" t="s">
        <v>41</v>
      </c>
      <c r="D1105" s="32" t="s">
        <v>39</v>
      </c>
      <c r="E1105" s="4">
        <f>[1]Source!AU1090</f>
        <v>10</v>
      </c>
      <c r="F1105" s="33"/>
      <c r="G1105" s="34"/>
      <c r="H1105" s="4"/>
      <c r="I1105" s="4"/>
      <c r="J1105" s="33">
        <f>SUM(AE1101:AE1104)</f>
        <v>2219.25</v>
      </c>
      <c r="K1105" s="33"/>
      <c r="M1105"/>
      <c r="N1105"/>
      <c r="O1105"/>
      <c r="P1105"/>
      <c r="Q1105"/>
    </row>
    <row r="1106" spans="1:33" ht="14.25" x14ac:dyDescent="0.2">
      <c r="A1106" s="31"/>
      <c r="B1106" s="31"/>
      <c r="C1106" s="31" t="s">
        <v>42</v>
      </c>
      <c r="D1106" s="32" t="s">
        <v>43</v>
      </c>
      <c r="E1106" s="4">
        <f>[1]Source!AQ1090</f>
        <v>0.47</v>
      </c>
      <c r="F1106" s="33"/>
      <c r="G1106" s="34" t="str">
        <f>[1]Source!DI1090</f>
        <v>*4*168</v>
      </c>
      <c r="H1106" s="4">
        <f>[1]Source!AV1090</f>
        <v>1</v>
      </c>
      <c r="I1106" s="4"/>
      <c r="J1106" s="33"/>
      <c r="K1106" s="33">
        <f>[1]Source!U1090</f>
        <v>89.509055999999987</v>
      </c>
      <c r="M1106"/>
      <c r="N1106"/>
      <c r="O1106"/>
      <c r="P1106"/>
      <c r="Q1106"/>
    </row>
    <row r="1107" spans="1:33" ht="15" x14ac:dyDescent="0.25">
      <c r="A1107" s="35"/>
      <c r="B1107" s="35"/>
      <c r="C1107" s="35"/>
      <c r="D1107" s="35"/>
      <c r="E1107" s="35"/>
      <c r="F1107" s="35"/>
      <c r="G1107" s="35"/>
      <c r="H1107" s="35"/>
      <c r="I1107" s="36">
        <f>J1103+J1104+J1105</f>
        <v>39946.550000000003</v>
      </c>
      <c r="J1107" s="36"/>
      <c r="K1107" s="37">
        <f>IF([1]Source!I1090&lt;&gt;0, ROUND(I1107/[1]Source!I1090, 2), 0)</f>
        <v>140954.66</v>
      </c>
      <c r="M1107"/>
      <c r="N1107"/>
      <c r="O1107"/>
      <c r="P1107"/>
      <c r="Q1107"/>
      <c r="AA1107" s="38">
        <f>I1107</f>
        <v>39946.550000000003</v>
      </c>
    </row>
    <row r="1108" spans="1:33" ht="57" x14ac:dyDescent="0.2">
      <c r="A1108" s="31">
        <v>157</v>
      </c>
      <c r="B1108" s="31" t="str">
        <f>[1]Source!F1091</f>
        <v>5.3-1102-24-1/1</v>
      </c>
      <c r="C1108" s="31" t="str">
        <f>[1]Source!G1091</f>
        <v>Уборка свежевыпавшего снега ручной самоходной машиной - ширина захвата 120 см ( S=1889,1 м2*0,2=377,82 м2)</v>
      </c>
      <c r="D1108" s="32" t="str">
        <f>[1]Source!H1091</f>
        <v>100 м2</v>
      </c>
      <c r="E1108" s="4">
        <f>[1]Source!I1091</f>
        <v>3.7782</v>
      </c>
      <c r="F1108" s="33"/>
      <c r="G1108" s="34"/>
      <c r="H1108" s="4"/>
      <c r="I1108" s="4"/>
      <c r="J1108" s="33"/>
      <c r="K1108" s="33"/>
      <c r="M1108"/>
      <c r="N1108"/>
      <c r="O1108"/>
      <c r="P1108"/>
      <c r="Q1108"/>
      <c r="AB1108">
        <f>ROUND(([1]Source!BZ1091/100)*ROUND(([1]Source!AF1091*[1]Source!AV1091)*[1]Source!I1091, 2), 2)</f>
        <v>172501.37</v>
      </c>
      <c r="AC1108">
        <f>[1]Source!X1091</f>
        <v>172501.37</v>
      </c>
      <c r="AD1108">
        <f>ROUND(([1]Source!CA1091/100)*ROUND(([1]Source!AF1091*[1]Source!AV1091)*[1]Source!I1091, 2), 2)</f>
        <v>24643.05</v>
      </c>
      <c r="AE1108">
        <f>[1]Source!Y1091</f>
        <v>24643.05</v>
      </c>
      <c r="AF1108">
        <f>ROUND((175/100)*ROUND(([1]Source!AE1091*[1]Source!AV1091)*[1]Source!I1091, 2), 2)</f>
        <v>399.89</v>
      </c>
      <c r="AG1108">
        <f>ROUND((108/100)*ROUND([1]Source!CS1091*[1]Source!I1091, 2), 2)</f>
        <v>246.79</v>
      </c>
    </row>
    <row r="1109" spans="1:33" x14ac:dyDescent="0.2">
      <c r="C1109" s="40" t="str">
        <f>"Объем: "&amp;[1]Source!I1091&amp;"=377,82/"&amp;"100"</f>
        <v>Объем: 3,7782=377,82/100</v>
      </c>
      <c r="M1109"/>
      <c r="N1109"/>
      <c r="O1109"/>
      <c r="P1109"/>
      <c r="Q1109"/>
    </row>
    <row r="1110" spans="1:33" ht="14.25" x14ac:dyDescent="0.2">
      <c r="A1110" s="31"/>
      <c r="B1110" s="31"/>
      <c r="C1110" s="31" t="s">
        <v>34</v>
      </c>
      <c r="D1110" s="32"/>
      <c r="E1110" s="4"/>
      <c r="F1110" s="33">
        <f>[1]Source!AO1091</f>
        <v>97.06</v>
      </c>
      <c r="G1110" s="34" t="str">
        <f>[1]Source!DG1091</f>
        <v>*4*168</v>
      </c>
      <c r="H1110" s="4">
        <f>[1]Source!AV1091</f>
        <v>1</v>
      </c>
      <c r="I1110" s="4">
        <f>IF([1]Source!BA1091&lt;&gt; 0, [1]Source!BA1091, 1)</f>
        <v>1</v>
      </c>
      <c r="J1110" s="33">
        <f>[1]Source!S1091</f>
        <v>246430.53</v>
      </c>
      <c r="K1110" s="33"/>
      <c r="M1110"/>
      <c r="N1110"/>
      <c r="O1110"/>
      <c r="P1110"/>
      <c r="Q1110"/>
    </row>
    <row r="1111" spans="1:33" ht="14.25" x14ac:dyDescent="0.2">
      <c r="A1111" s="31"/>
      <c r="B1111" s="31"/>
      <c r="C1111" s="31" t="s">
        <v>33</v>
      </c>
      <c r="D1111" s="32"/>
      <c r="E1111" s="4"/>
      <c r="F1111" s="33">
        <f>[1]Source!AM1091</f>
        <v>33.97</v>
      </c>
      <c r="G1111" s="34" t="str">
        <f>[1]Source!DE1091</f>
        <v>*4*168</v>
      </c>
      <c r="H1111" s="4">
        <f>[1]Source!AV1091</f>
        <v>1</v>
      </c>
      <c r="I1111" s="4">
        <f>IF([1]Source!BB1091&lt;&gt; 0, [1]Source!BB1091, 1)</f>
        <v>1</v>
      </c>
      <c r="J1111" s="33">
        <f>[1]Source!Q1091</f>
        <v>86248.15</v>
      </c>
      <c r="K1111" s="33"/>
      <c r="M1111"/>
      <c r="N1111"/>
      <c r="O1111"/>
      <c r="P1111"/>
      <c r="Q1111"/>
    </row>
    <row r="1112" spans="1:33" ht="14.25" x14ac:dyDescent="0.2">
      <c r="A1112" s="31"/>
      <c r="B1112" s="31"/>
      <c r="C1112" s="31" t="s">
        <v>37</v>
      </c>
      <c r="D1112" s="32"/>
      <c r="E1112" s="4"/>
      <c r="F1112" s="33">
        <f>[1]Source!AN1091</f>
        <v>0.09</v>
      </c>
      <c r="G1112" s="34" t="str">
        <f>[1]Source!DF1091</f>
        <v>*4*168</v>
      </c>
      <c r="H1112" s="4">
        <f>[1]Source!AV1091</f>
        <v>1</v>
      </c>
      <c r="I1112" s="4">
        <f>IF([1]Source!BS1091&lt;&gt; 0, [1]Source!BS1091, 1)</f>
        <v>1</v>
      </c>
      <c r="J1112" s="41">
        <f>[1]Source!R1091</f>
        <v>228.51</v>
      </c>
      <c r="K1112" s="33"/>
      <c r="M1112"/>
      <c r="N1112"/>
      <c r="O1112"/>
      <c r="P1112"/>
      <c r="Q1112"/>
    </row>
    <row r="1113" spans="1:33" ht="14.25" x14ac:dyDescent="0.2">
      <c r="A1113" s="31"/>
      <c r="B1113" s="31"/>
      <c r="C1113" s="31" t="s">
        <v>40</v>
      </c>
      <c r="D1113" s="32" t="s">
        <v>39</v>
      </c>
      <c r="E1113" s="4">
        <f>[1]Source!AT1091</f>
        <v>70</v>
      </c>
      <c r="F1113" s="33"/>
      <c r="G1113" s="34"/>
      <c r="H1113" s="4"/>
      <c r="I1113" s="4"/>
      <c r="J1113" s="33">
        <f>SUM(AC1108:AC1112)</f>
        <v>172501.37</v>
      </c>
      <c r="K1113" s="33"/>
      <c r="M1113"/>
      <c r="N1113"/>
      <c r="O1113"/>
      <c r="P1113"/>
      <c r="Q1113"/>
    </row>
    <row r="1114" spans="1:33" ht="14.25" x14ac:dyDescent="0.2">
      <c r="A1114" s="31"/>
      <c r="B1114" s="31"/>
      <c r="C1114" s="31" t="s">
        <v>41</v>
      </c>
      <c r="D1114" s="32" t="s">
        <v>39</v>
      </c>
      <c r="E1114" s="4">
        <f>[1]Source!AU1091</f>
        <v>10</v>
      </c>
      <c r="F1114" s="33"/>
      <c r="G1114" s="34"/>
      <c r="H1114" s="4"/>
      <c r="I1114" s="4"/>
      <c r="J1114" s="33">
        <f>SUM(AE1108:AE1113)</f>
        <v>24643.05</v>
      </c>
      <c r="K1114" s="33"/>
      <c r="M1114"/>
      <c r="N1114"/>
      <c r="O1114"/>
      <c r="P1114"/>
      <c r="Q1114"/>
    </row>
    <row r="1115" spans="1:33" ht="14.25" x14ac:dyDescent="0.2">
      <c r="A1115" s="31"/>
      <c r="B1115" s="31"/>
      <c r="C1115" s="31" t="s">
        <v>38</v>
      </c>
      <c r="D1115" s="32" t="s">
        <v>39</v>
      </c>
      <c r="E1115" s="4">
        <f>108</f>
        <v>108</v>
      </c>
      <c r="F1115" s="33"/>
      <c r="G1115" s="34"/>
      <c r="H1115" s="4"/>
      <c r="I1115" s="4"/>
      <c r="J1115" s="33">
        <f>SUM(AG1108:AG1114)</f>
        <v>246.79</v>
      </c>
      <c r="K1115" s="33"/>
      <c r="M1115"/>
      <c r="N1115"/>
      <c r="O1115"/>
      <c r="P1115"/>
      <c r="Q1115"/>
    </row>
    <row r="1116" spans="1:33" ht="14.25" x14ac:dyDescent="0.2">
      <c r="A1116" s="31"/>
      <c r="B1116" s="31"/>
      <c r="C1116" s="31" t="s">
        <v>42</v>
      </c>
      <c r="D1116" s="32" t="s">
        <v>43</v>
      </c>
      <c r="E1116" s="4">
        <f>[1]Source!AQ1091</f>
        <v>0.35</v>
      </c>
      <c r="F1116" s="33"/>
      <c r="G1116" s="34" t="str">
        <f>[1]Source!DI1091</f>
        <v>*4*168</v>
      </c>
      <c r="H1116" s="4">
        <f>[1]Source!AV1091</f>
        <v>1</v>
      </c>
      <c r="I1116" s="4"/>
      <c r="J1116" s="33"/>
      <c r="K1116" s="33">
        <f>[1]Source!U1091</f>
        <v>888.63263999999992</v>
      </c>
      <c r="M1116"/>
      <c r="N1116"/>
      <c r="O1116"/>
      <c r="P1116"/>
      <c r="Q1116"/>
    </row>
    <row r="1117" spans="1:33" ht="15" x14ac:dyDescent="0.25">
      <c r="A1117" s="35"/>
      <c r="B1117" s="35"/>
      <c r="C1117" s="35"/>
      <c r="D1117" s="35"/>
      <c r="E1117" s="35"/>
      <c r="F1117" s="35"/>
      <c r="G1117" s="35"/>
      <c r="H1117" s="35"/>
      <c r="I1117" s="36">
        <f>J1110+J1111+J1113+J1114+J1115</f>
        <v>530069.89</v>
      </c>
      <c r="J1117" s="36"/>
      <c r="K1117" s="37">
        <f>IF([1]Source!I1091&lt;&gt;0, ROUND(I1117/[1]Source!I1091, 2), 0)</f>
        <v>140296.94</v>
      </c>
      <c r="M1117"/>
      <c r="N1117"/>
      <c r="O1117"/>
      <c r="P1117"/>
      <c r="Q1117"/>
      <c r="AA1117" s="38">
        <f>I1117</f>
        <v>530069.89</v>
      </c>
    </row>
    <row r="1118" spans="1:33" ht="42.75" x14ac:dyDescent="0.2">
      <c r="A1118" s="31">
        <v>158</v>
      </c>
      <c r="B1118" s="31" t="str">
        <f>[1]Source!F1092</f>
        <v>5.3-1102-9-1/1</v>
      </c>
      <c r="C1118" s="31" t="str">
        <f>[1]Source!G1092</f>
        <v>Колка льда на обледеневших покрытиях вручную ( S=1889,1 м2*0,1*0,3*0,5=  28,34м2)</v>
      </c>
      <c r="D1118" s="32" t="str">
        <f>[1]Source!H1092</f>
        <v>100 м2</v>
      </c>
      <c r="E1118" s="4">
        <f>[1]Source!I1092</f>
        <v>0.28339999999999999</v>
      </c>
      <c r="F1118" s="33"/>
      <c r="G1118" s="34"/>
      <c r="H1118" s="4"/>
      <c r="I1118" s="4"/>
      <c r="J1118" s="33"/>
      <c r="K1118" s="33"/>
      <c r="M1118"/>
      <c r="N1118"/>
      <c r="O1118"/>
      <c r="P1118"/>
      <c r="Q1118"/>
      <c r="AB1118">
        <f>ROUND(([1]Source!BZ1092/100)*ROUND(([1]Source!AF1092*[1]Source!AV1092)*[1]Source!I1092, 2), 2)</f>
        <v>39827.440000000002</v>
      </c>
      <c r="AC1118">
        <f>[1]Source!X1092</f>
        <v>39827.440000000002</v>
      </c>
      <c r="AD1118">
        <f>ROUND(([1]Source!CA1092/100)*ROUND(([1]Source!AF1092*[1]Source!AV1092)*[1]Source!I1092, 2), 2)</f>
        <v>5689.63</v>
      </c>
      <c r="AE1118">
        <f>[1]Source!Y1092</f>
        <v>5689.63</v>
      </c>
      <c r="AF1118">
        <f>ROUND((175/100)*ROUND(([1]Source!AE1092*[1]Source!AV1092)*[1]Source!I1092, 2), 2)</f>
        <v>0</v>
      </c>
      <c r="AG1118">
        <f>ROUND((108/100)*ROUND([1]Source!CS1092*[1]Source!I1092, 2), 2)</f>
        <v>0</v>
      </c>
    </row>
    <row r="1119" spans="1:33" x14ac:dyDescent="0.2">
      <c r="C1119" s="40" t="str">
        <f>"Объем: "&amp;[1]Source!I1092&amp;"=28,34/"&amp;"100"</f>
        <v>Объем: 0,2834=28,34/100</v>
      </c>
      <c r="M1119"/>
      <c r="N1119"/>
      <c r="O1119"/>
      <c r="P1119"/>
      <c r="Q1119"/>
    </row>
    <row r="1120" spans="1:33" ht="14.25" x14ac:dyDescent="0.2">
      <c r="A1120" s="31"/>
      <c r="B1120" s="31"/>
      <c r="C1120" s="31" t="s">
        <v>34</v>
      </c>
      <c r="D1120" s="32"/>
      <c r="E1120" s="4"/>
      <c r="F1120" s="33">
        <f>[1]Source!AO1092</f>
        <v>597.51</v>
      </c>
      <c r="G1120" s="34" t="str">
        <f>[1]Source!DG1092</f>
        <v>)*2*168</v>
      </c>
      <c r="H1120" s="4">
        <f>[1]Source!AV1092</f>
        <v>1</v>
      </c>
      <c r="I1120" s="4">
        <f>IF([1]Source!BA1092&lt;&gt; 0, [1]Source!BA1092, 1)</f>
        <v>1</v>
      </c>
      <c r="J1120" s="33">
        <f>[1]Source!S1092</f>
        <v>56896.34</v>
      </c>
      <c r="K1120" s="33"/>
      <c r="M1120"/>
      <c r="N1120"/>
      <c r="O1120"/>
      <c r="P1120"/>
      <c r="Q1120"/>
    </row>
    <row r="1121" spans="1:33" ht="14.25" x14ac:dyDescent="0.2">
      <c r="A1121" s="31"/>
      <c r="B1121" s="31"/>
      <c r="C1121" s="31" t="s">
        <v>40</v>
      </c>
      <c r="D1121" s="32" t="s">
        <v>39</v>
      </c>
      <c r="E1121" s="4">
        <f>[1]Source!AT1092</f>
        <v>70</v>
      </c>
      <c r="F1121" s="33"/>
      <c r="G1121" s="34"/>
      <c r="H1121" s="4"/>
      <c r="I1121" s="4"/>
      <c r="J1121" s="33">
        <f>SUM(AC1118:AC1120)</f>
        <v>39827.440000000002</v>
      </c>
      <c r="K1121" s="33"/>
      <c r="M1121"/>
      <c r="N1121"/>
      <c r="O1121"/>
      <c r="P1121"/>
      <c r="Q1121"/>
    </row>
    <row r="1122" spans="1:33" ht="14.25" x14ac:dyDescent="0.2">
      <c r="A1122" s="31"/>
      <c r="B1122" s="31"/>
      <c r="C1122" s="31" t="s">
        <v>41</v>
      </c>
      <c r="D1122" s="32" t="s">
        <v>39</v>
      </c>
      <c r="E1122" s="4">
        <f>[1]Source!AU1092</f>
        <v>10</v>
      </c>
      <c r="F1122" s="33"/>
      <c r="G1122" s="34"/>
      <c r="H1122" s="4"/>
      <c r="I1122" s="4"/>
      <c r="J1122" s="33">
        <f>SUM(AE1118:AE1121)</f>
        <v>5689.63</v>
      </c>
      <c r="K1122" s="33"/>
      <c r="M1122"/>
      <c r="N1122"/>
      <c r="O1122"/>
      <c r="P1122"/>
      <c r="Q1122"/>
    </row>
    <row r="1123" spans="1:33" ht="14.25" x14ac:dyDescent="0.2">
      <c r="A1123" s="31"/>
      <c r="B1123" s="31"/>
      <c r="C1123" s="31" t="s">
        <v>42</v>
      </c>
      <c r="D1123" s="32" t="s">
        <v>43</v>
      </c>
      <c r="E1123" s="4">
        <f>[1]Source!AQ1092</f>
        <v>2.41</v>
      </c>
      <c r="F1123" s="33"/>
      <c r="G1123" s="34" t="str">
        <f>[1]Source!DI1092</f>
        <v>)*2*168</v>
      </c>
      <c r="H1123" s="4">
        <f>[1]Source!AV1092</f>
        <v>1</v>
      </c>
      <c r="I1123" s="4"/>
      <c r="J1123" s="33"/>
      <c r="K1123" s="33">
        <f>[1]Source!U1092</f>
        <v>229.48598399999997</v>
      </c>
      <c r="M1123"/>
      <c r="N1123"/>
      <c r="O1123"/>
      <c r="P1123"/>
      <c r="Q1123"/>
    </row>
    <row r="1124" spans="1:33" ht="15" x14ac:dyDescent="0.25">
      <c r="A1124" s="35"/>
      <c r="B1124" s="35"/>
      <c r="C1124" s="35"/>
      <c r="D1124" s="35"/>
      <c r="E1124" s="35"/>
      <c r="F1124" s="35"/>
      <c r="G1124" s="35"/>
      <c r="H1124" s="35"/>
      <c r="I1124" s="36">
        <f>J1120+J1121+J1122</f>
        <v>102413.41</v>
      </c>
      <c r="J1124" s="36"/>
      <c r="K1124" s="37">
        <f>IF([1]Source!I1092&lt;&gt;0, ROUND(I1124/[1]Source!I1092, 2), 0)</f>
        <v>361374.06</v>
      </c>
      <c r="M1124"/>
      <c r="N1124"/>
      <c r="O1124"/>
      <c r="P1124"/>
      <c r="Q1124"/>
      <c r="AA1124" s="38">
        <f>I1124</f>
        <v>102413.41</v>
      </c>
    </row>
    <row r="1125" spans="1:33" ht="57" x14ac:dyDescent="0.2">
      <c r="A1125" s="31">
        <v>159</v>
      </c>
      <c r="B1125" s="31" t="str">
        <f>[1]Source!F1093</f>
        <v>калькуляция</v>
      </c>
      <c r="C1125" s="31" t="str">
        <f>[1]Source!G1093</f>
        <v>Посыпка  гранитной крошкой дорожных покрытий средствами малой механизации( расход крошки 100 г/м2)</v>
      </c>
      <c r="D1125" s="32" t="str">
        <f>[1]Source!H1093</f>
        <v>м2</v>
      </c>
      <c r="E1125" s="4">
        <f>[1]Source!I1093</f>
        <v>1322.37</v>
      </c>
      <c r="F1125" s="33"/>
      <c r="G1125" s="34"/>
      <c r="H1125" s="4"/>
      <c r="I1125" s="4"/>
      <c r="J1125" s="33"/>
      <c r="K1125" s="33"/>
      <c r="M1125"/>
      <c r="N1125"/>
      <c r="O1125"/>
      <c r="P1125"/>
      <c r="Q1125"/>
      <c r="AB1125">
        <f>ROUND(([1]Source!BZ1093/100)*ROUND(([1]Source!AF1093*[1]Source!AV1093)*[1]Source!I1093, 2), 2)</f>
        <v>0</v>
      </c>
      <c r="AC1125">
        <f>[1]Source!X1093</f>
        <v>0</v>
      </c>
      <c r="AD1125">
        <f>ROUND(([1]Source!CA1093/100)*ROUND(([1]Source!AF1093*[1]Source!AV1093)*[1]Source!I1093, 2), 2)</f>
        <v>0</v>
      </c>
      <c r="AE1125">
        <f>[1]Source!Y1093</f>
        <v>0</v>
      </c>
      <c r="AF1125">
        <f>ROUND((175/100)*ROUND(([1]Source!AE1093*[1]Source!AV1093)*[1]Source!I1093, 2), 2)</f>
        <v>0</v>
      </c>
      <c r="AG1125">
        <f>ROUND((108/100)*ROUND([1]Source!CS1093*[1]Source!I1093, 2), 2)</f>
        <v>0</v>
      </c>
    </row>
    <row r="1126" spans="1:33" ht="14.25" x14ac:dyDescent="0.2">
      <c r="A1126" s="31"/>
      <c r="B1126" s="31"/>
      <c r="C1126" s="31" t="s">
        <v>33</v>
      </c>
      <c r="D1126" s="32"/>
      <c r="E1126" s="4"/>
      <c r="F1126" s="33">
        <f>[1]Source!AM1093</f>
        <v>0.33</v>
      </c>
      <c r="G1126" s="34" t="str">
        <f>[1]Source!DE1093</f>
        <v>*4*168</v>
      </c>
      <c r="H1126" s="4">
        <f>[1]Source!AV1093</f>
        <v>1</v>
      </c>
      <c r="I1126" s="4">
        <f>IF([1]Source!BB1093&lt;&gt; 0, [1]Source!BB1093, 1)</f>
        <v>1</v>
      </c>
      <c r="J1126" s="33">
        <f>[1]Source!Q1093</f>
        <v>293248.77</v>
      </c>
      <c r="K1126" s="33"/>
      <c r="M1126"/>
      <c r="N1126"/>
      <c r="O1126"/>
      <c r="P1126"/>
      <c r="Q1126"/>
    </row>
    <row r="1127" spans="1:33" ht="14.25" x14ac:dyDescent="0.2">
      <c r="A1127" s="31" t="s">
        <v>80</v>
      </c>
      <c r="B1127" s="31" t="str">
        <f>[1]Source!F1094</f>
        <v>цена поставщика</v>
      </c>
      <c r="C1127" s="31" t="str">
        <f>[1]Source!G1094</f>
        <v>Крошка гранитная</v>
      </c>
      <c r="D1127" s="32" t="str">
        <f>[1]Source!H1094</f>
        <v>кг</v>
      </c>
      <c r="E1127" s="4">
        <f>[1]Source!I1094</f>
        <v>88863.263999999996</v>
      </c>
      <c r="F1127" s="33">
        <f>[1]Source!AK1094</f>
        <v>4.43</v>
      </c>
      <c r="G1127" s="39" t="s">
        <v>68</v>
      </c>
      <c r="H1127" s="4">
        <f>[1]Source!AW1094</f>
        <v>1</v>
      </c>
      <c r="I1127" s="4">
        <f>IF([1]Source!BC1094&lt;&gt; 0, [1]Source!BC1094, 1)</f>
        <v>1</v>
      </c>
      <c r="J1127" s="33">
        <f>[1]Source!O1094</f>
        <v>393664.26</v>
      </c>
      <c r="K1127" s="33"/>
      <c r="M1127"/>
      <c r="N1127"/>
      <c r="O1127"/>
      <c r="P1127"/>
      <c r="Q1127"/>
      <c r="AB1127">
        <f>ROUND(([1]Source!BZ1094/100)*ROUND(([1]Source!AF1094*[1]Source!AV1094)*[1]Source!I1094, 2), 2)</f>
        <v>0</v>
      </c>
      <c r="AC1127">
        <f>[1]Source!X1094</f>
        <v>0</v>
      </c>
      <c r="AD1127">
        <f>ROUND(([1]Source!CA1094/100)*ROUND(([1]Source!AF1094*[1]Source!AV1094)*[1]Source!I1094, 2), 2)</f>
        <v>0</v>
      </c>
      <c r="AE1127">
        <f>[1]Source!Y1094</f>
        <v>0</v>
      </c>
      <c r="AF1127">
        <f>ROUND((175/100)*ROUND(([1]Source!AE1094*[1]Source!AV1094)*[1]Source!I1094, 2), 2)</f>
        <v>0</v>
      </c>
      <c r="AG1127">
        <f>ROUND((108/100)*ROUND([1]Source!CS1094*[1]Source!I1094, 2), 2)</f>
        <v>0</v>
      </c>
    </row>
    <row r="1128" spans="1:33" ht="15" x14ac:dyDescent="0.25">
      <c r="A1128" s="35"/>
      <c r="B1128" s="35"/>
      <c r="C1128" s="35"/>
      <c r="D1128" s="35"/>
      <c r="E1128" s="35"/>
      <c r="F1128" s="35"/>
      <c r="G1128" s="35"/>
      <c r="H1128" s="35"/>
      <c r="I1128" s="36">
        <f>J1126+SUM(J1127:J1127)</f>
        <v>686913.03</v>
      </c>
      <c r="J1128" s="36"/>
      <c r="K1128" s="37">
        <f>IF([1]Source!I1093&lt;&gt;0, ROUND(I1128/[1]Source!I1093, 2), 0)</f>
        <v>519.46</v>
      </c>
      <c r="M1128"/>
      <c r="N1128"/>
      <c r="O1128"/>
      <c r="P1128"/>
      <c r="Q1128"/>
      <c r="AA1128" s="38">
        <f>I1128</f>
        <v>686913.03</v>
      </c>
    </row>
    <row r="1129" spans="1:33" ht="28.5" x14ac:dyDescent="0.2">
      <c r="A1129" s="31">
        <v>160</v>
      </c>
      <c r="B1129" s="31" t="str">
        <f>[1]Source!F1095</f>
        <v>калькуляция</v>
      </c>
      <c r="C1129" s="31" t="str">
        <f>[1]Source!G1095</f>
        <v>Посыпка гранитной крошкой  дорожных покрытий вручную( 100г/м2 )</v>
      </c>
      <c r="D1129" s="32" t="str">
        <f>[1]Source!H1095</f>
        <v>м2</v>
      </c>
      <c r="E1129" s="4">
        <f>[1]Source!I1095</f>
        <v>566.73</v>
      </c>
      <c r="F1129" s="33"/>
      <c r="G1129" s="34"/>
      <c r="H1129" s="4"/>
      <c r="I1129" s="4"/>
      <c r="J1129" s="33"/>
      <c r="K1129" s="33"/>
      <c r="M1129"/>
      <c r="N1129"/>
      <c r="O1129"/>
      <c r="P1129"/>
      <c r="Q1129"/>
      <c r="AB1129">
        <f>ROUND(([1]Source!BZ1095/100)*ROUND(([1]Source!AF1095*[1]Source!AV1095)*[1]Source!I1095, 2), 2)</f>
        <v>0</v>
      </c>
      <c r="AC1129">
        <f>[1]Source!X1095</f>
        <v>0</v>
      </c>
      <c r="AD1129">
        <f>ROUND(([1]Source!CA1095/100)*ROUND(([1]Source!AF1095*[1]Source!AV1095)*[1]Source!I1095, 2), 2)</f>
        <v>0</v>
      </c>
      <c r="AE1129">
        <f>[1]Source!Y1095</f>
        <v>0</v>
      </c>
      <c r="AF1129">
        <f>ROUND((175/100)*ROUND(([1]Source!AE1095*[1]Source!AV1095)*[1]Source!I1095, 2), 2)</f>
        <v>0</v>
      </c>
      <c r="AG1129">
        <f>ROUND((108/100)*ROUND([1]Source!CS1095*[1]Source!I1095, 2), 2)</f>
        <v>0</v>
      </c>
    </row>
    <row r="1130" spans="1:33" ht="14.25" x14ac:dyDescent="0.2">
      <c r="A1130" s="31"/>
      <c r="B1130" s="31"/>
      <c r="C1130" s="31" t="s">
        <v>34</v>
      </c>
      <c r="D1130" s="32"/>
      <c r="E1130" s="4"/>
      <c r="F1130" s="33">
        <f>[1]Source!AO1095</f>
        <v>2.08</v>
      </c>
      <c r="G1130" s="34" t="str">
        <f>[1]Source!DG1095</f>
        <v>*4*168</v>
      </c>
      <c r="H1130" s="4">
        <f>[1]Source!AV1095</f>
        <v>1</v>
      </c>
      <c r="I1130" s="4">
        <f>IF([1]Source!BA1095&lt;&gt; 0, [1]Source!BA1095, 1)</f>
        <v>1</v>
      </c>
      <c r="J1130" s="33">
        <f>[1]Source!S1095</f>
        <v>792152.52</v>
      </c>
      <c r="K1130" s="33"/>
      <c r="M1130"/>
      <c r="N1130"/>
      <c r="O1130"/>
      <c r="P1130"/>
      <c r="Q1130"/>
    </row>
    <row r="1131" spans="1:33" ht="14.25" x14ac:dyDescent="0.2">
      <c r="A1131" s="31" t="s">
        <v>81</v>
      </c>
      <c r="B1131" s="31" t="str">
        <f>[1]Source!F1096</f>
        <v>цена поставщика</v>
      </c>
      <c r="C1131" s="31" t="str">
        <f>[1]Source!G1096</f>
        <v>Крошка гранитная</v>
      </c>
      <c r="D1131" s="32" t="str">
        <f>[1]Source!H1096</f>
        <v>кг</v>
      </c>
      <c r="E1131" s="4">
        <f>[1]Source!I1096</f>
        <v>38084.256000000001</v>
      </c>
      <c r="F1131" s="33">
        <f>[1]Source!AK1096</f>
        <v>4.43</v>
      </c>
      <c r="G1131" s="39" t="s">
        <v>68</v>
      </c>
      <c r="H1131" s="4">
        <f>[1]Source!AW1096</f>
        <v>1</v>
      </c>
      <c r="I1131" s="4">
        <f>IF([1]Source!BC1096&lt;&gt; 0, [1]Source!BC1096, 1)</f>
        <v>1</v>
      </c>
      <c r="J1131" s="33">
        <f>[1]Source!O1096</f>
        <v>168713.25</v>
      </c>
      <c r="K1131" s="33"/>
      <c r="M1131"/>
      <c r="N1131"/>
      <c r="O1131"/>
      <c r="P1131"/>
      <c r="Q1131"/>
      <c r="AB1131">
        <f>ROUND(([1]Source!BZ1096/100)*ROUND(([1]Source!AF1096*[1]Source!AV1096)*[1]Source!I1096, 2), 2)</f>
        <v>0</v>
      </c>
      <c r="AC1131">
        <f>[1]Source!X1096</f>
        <v>0</v>
      </c>
      <c r="AD1131">
        <f>ROUND(([1]Source!CA1096/100)*ROUND(([1]Source!AF1096*[1]Source!AV1096)*[1]Source!I1096, 2), 2)</f>
        <v>0</v>
      </c>
      <c r="AE1131">
        <f>[1]Source!Y1096</f>
        <v>0</v>
      </c>
      <c r="AF1131">
        <f>ROUND((175/100)*ROUND(([1]Source!AE1096*[1]Source!AV1096)*[1]Source!I1096, 2), 2)</f>
        <v>0</v>
      </c>
      <c r="AG1131">
        <f>ROUND((108/100)*ROUND([1]Source!CS1096*[1]Source!I1096, 2), 2)</f>
        <v>0</v>
      </c>
    </row>
    <row r="1132" spans="1:33" ht="15" x14ac:dyDescent="0.25">
      <c r="A1132" s="35"/>
      <c r="B1132" s="35"/>
      <c r="C1132" s="35"/>
      <c r="D1132" s="35"/>
      <c r="E1132" s="35"/>
      <c r="F1132" s="35"/>
      <c r="G1132" s="35"/>
      <c r="H1132" s="35"/>
      <c r="I1132" s="36">
        <f>J1130+SUM(J1131:J1131)</f>
        <v>960865.77</v>
      </c>
      <c r="J1132" s="36"/>
      <c r="K1132" s="37">
        <f>IF([1]Source!I1095&lt;&gt;0, ROUND(I1132/[1]Source!I1095, 2), 0)</f>
        <v>1695.46</v>
      </c>
      <c r="M1132"/>
      <c r="N1132"/>
      <c r="O1132"/>
      <c r="P1132"/>
      <c r="Q1132"/>
      <c r="AA1132" s="38">
        <f>I1132</f>
        <v>960865.77</v>
      </c>
    </row>
    <row r="1133" spans="1:33" ht="28.5" x14ac:dyDescent="0.2">
      <c r="A1133" s="31">
        <v>161</v>
      </c>
      <c r="B1133" s="31" t="str">
        <f>[1]Source!F1097</f>
        <v>5.4-1201-1-1/1</v>
      </c>
      <c r="C1133" s="31" t="str">
        <f>[1]Source!G1097</f>
        <v>Сбор случайного мусора по территории</v>
      </c>
      <c r="D1133" s="32" t="str">
        <f>[1]Source!H1097</f>
        <v>100 м2</v>
      </c>
      <c r="E1133" s="4">
        <f>[1]Source!I1097</f>
        <v>18.890999999999998</v>
      </c>
      <c r="F1133" s="33"/>
      <c r="G1133" s="34"/>
      <c r="H1133" s="4"/>
      <c r="I1133" s="4"/>
      <c r="J1133" s="33"/>
      <c r="K1133" s="33"/>
      <c r="M1133"/>
      <c r="N1133"/>
      <c r="O1133"/>
      <c r="P1133"/>
      <c r="Q1133"/>
      <c r="AB1133">
        <f>ROUND(([1]Source!BZ1097/100)*ROUND(([1]Source!AF1097*[1]Source!AV1097)*[1]Source!I1097, 2), 2)</f>
        <v>217757.32</v>
      </c>
      <c r="AC1133">
        <f>[1]Source!X1097</f>
        <v>217757.32</v>
      </c>
      <c r="AD1133">
        <f>ROUND(([1]Source!CA1097/100)*ROUND(([1]Source!AF1097*[1]Source!AV1097)*[1]Source!I1097, 2), 2)</f>
        <v>31108.19</v>
      </c>
      <c r="AE1133">
        <f>[1]Source!Y1097</f>
        <v>31108.19</v>
      </c>
      <c r="AF1133">
        <f>ROUND((175/100)*ROUND(([1]Source!AE1097*[1]Source!AV1097)*[1]Source!I1097, 2), 2)</f>
        <v>0</v>
      </c>
      <c r="AG1133">
        <f>ROUND((108/100)*ROUND([1]Source!CS1097*[1]Source!I1097, 2), 2)</f>
        <v>0</v>
      </c>
    </row>
    <row r="1134" spans="1:33" x14ac:dyDescent="0.2">
      <c r="C1134" s="40" t="str">
        <f>"Объем: "&amp;[1]Source!I1097&amp;"=1889,1/"&amp;"100"</f>
        <v>Объем: 18,891=1889,1/100</v>
      </c>
      <c r="M1134"/>
      <c r="N1134"/>
      <c r="O1134"/>
      <c r="P1134"/>
      <c r="Q1134"/>
    </row>
    <row r="1135" spans="1:33" ht="14.25" x14ac:dyDescent="0.2">
      <c r="A1135" s="31"/>
      <c r="B1135" s="31"/>
      <c r="C1135" s="31" t="s">
        <v>34</v>
      </c>
      <c r="D1135" s="32"/>
      <c r="E1135" s="4"/>
      <c r="F1135" s="33">
        <f>[1]Source!AO1097</f>
        <v>12.4</v>
      </c>
      <c r="G1135" s="34" t="str">
        <f>[1]Source!DG1097</f>
        <v>)*4*332</v>
      </c>
      <c r="H1135" s="4">
        <f>[1]Source!AV1097</f>
        <v>1</v>
      </c>
      <c r="I1135" s="4">
        <f>IF([1]Source!BA1097&lt;&gt; 0, [1]Source!BA1097, 1)</f>
        <v>1</v>
      </c>
      <c r="J1135" s="33">
        <f>[1]Source!S1097</f>
        <v>311081.88</v>
      </c>
      <c r="K1135" s="33"/>
      <c r="M1135"/>
      <c r="N1135"/>
      <c r="O1135"/>
      <c r="P1135"/>
      <c r="Q1135"/>
    </row>
    <row r="1136" spans="1:33" ht="14.25" x14ac:dyDescent="0.2">
      <c r="A1136" s="31"/>
      <c r="B1136" s="31"/>
      <c r="C1136" s="31" t="s">
        <v>47</v>
      </c>
      <c r="D1136" s="32"/>
      <c r="E1136" s="4"/>
      <c r="F1136" s="33">
        <f>[1]Source!AL1097</f>
        <v>0.69</v>
      </c>
      <c r="G1136" s="34" t="str">
        <f>[1]Source!DD1097</f>
        <v>)*4*332</v>
      </c>
      <c r="H1136" s="4">
        <f>[1]Source!AW1097</f>
        <v>1</v>
      </c>
      <c r="I1136" s="4">
        <f>IF([1]Source!BC1097&lt;&gt; 0, [1]Source!BC1097, 1)</f>
        <v>1</v>
      </c>
      <c r="J1136" s="33">
        <f>[1]Source!P1097</f>
        <v>17310.2</v>
      </c>
      <c r="K1136" s="33"/>
      <c r="M1136"/>
      <c r="N1136"/>
      <c r="O1136"/>
      <c r="P1136"/>
      <c r="Q1136"/>
    </row>
    <row r="1137" spans="1:33" ht="14.25" x14ac:dyDescent="0.2">
      <c r="A1137" s="31"/>
      <c r="B1137" s="31"/>
      <c r="C1137" s="31" t="s">
        <v>40</v>
      </c>
      <c r="D1137" s="32" t="s">
        <v>39</v>
      </c>
      <c r="E1137" s="4">
        <f>[1]Source!AT1097</f>
        <v>70</v>
      </c>
      <c r="F1137" s="33"/>
      <c r="G1137" s="34"/>
      <c r="H1137" s="4"/>
      <c r="I1137" s="4"/>
      <c r="J1137" s="33">
        <f>SUM(AC1133:AC1136)</f>
        <v>217757.32</v>
      </c>
      <c r="K1137" s="33"/>
      <c r="M1137"/>
      <c r="N1137"/>
      <c r="O1137"/>
      <c r="P1137"/>
      <c r="Q1137"/>
    </row>
    <row r="1138" spans="1:33" ht="14.25" x14ac:dyDescent="0.2">
      <c r="A1138" s="31"/>
      <c r="B1138" s="31"/>
      <c r="C1138" s="31" t="s">
        <v>41</v>
      </c>
      <c r="D1138" s="32" t="s">
        <v>39</v>
      </c>
      <c r="E1138" s="4">
        <f>[1]Source!AU1097</f>
        <v>10</v>
      </c>
      <c r="F1138" s="33"/>
      <c r="G1138" s="34"/>
      <c r="H1138" s="4"/>
      <c r="I1138" s="4"/>
      <c r="J1138" s="33">
        <f>SUM(AE1133:AE1137)</f>
        <v>31108.19</v>
      </c>
      <c r="K1138" s="33"/>
      <c r="M1138"/>
      <c r="N1138"/>
      <c r="O1138"/>
      <c r="P1138"/>
      <c r="Q1138"/>
    </row>
    <row r="1139" spans="1:33" ht="14.25" x14ac:dyDescent="0.2">
      <c r="A1139" s="31"/>
      <c r="B1139" s="31"/>
      <c r="C1139" s="31" t="s">
        <v>42</v>
      </c>
      <c r="D1139" s="32" t="s">
        <v>43</v>
      </c>
      <c r="E1139" s="4">
        <f>[1]Source!AQ1097</f>
        <v>0.05</v>
      </c>
      <c r="F1139" s="33"/>
      <c r="G1139" s="34" t="str">
        <f>[1]Source!DI1097</f>
        <v>)*4*332</v>
      </c>
      <c r="H1139" s="4">
        <f>[1]Source!AV1097</f>
        <v>1</v>
      </c>
      <c r="I1139" s="4"/>
      <c r="J1139" s="33"/>
      <c r="K1139" s="33">
        <f>[1]Source!U1097</f>
        <v>1254.3624</v>
      </c>
      <c r="M1139"/>
      <c r="N1139"/>
      <c r="O1139"/>
      <c r="P1139"/>
      <c r="Q1139"/>
    </row>
    <row r="1140" spans="1:33" ht="15" x14ac:dyDescent="0.25">
      <c r="A1140" s="35"/>
      <c r="B1140" s="35"/>
      <c r="C1140" s="35"/>
      <c r="D1140" s="35"/>
      <c r="E1140" s="35"/>
      <c r="F1140" s="35"/>
      <c r="G1140" s="35"/>
      <c r="H1140" s="35"/>
      <c r="I1140" s="36">
        <f>J1135+J1136+J1137+J1138</f>
        <v>577257.59</v>
      </c>
      <c r="J1140" s="36"/>
      <c r="K1140" s="37">
        <f>IF([1]Source!I1097&lt;&gt;0, ROUND(I1140/[1]Source!I1097, 2), 0)</f>
        <v>30557.279999999999</v>
      </c>
      <c r="M1140"/>
      <c r="N1140"/>
      <c r="O1140"/>
      <c r="P1140"/>
      <c r="Q1140"/>
      <c r="AA1140" s="38">
        <f>I1140</f>
        <v>577257.59</v>
      </c>
    </row>
    <row r="1141" spans="1:33" x14ac:dyDescent="0.2">
      <c r="M1141"/>
      <c r="N1141"/>
      <c r="O1141"/>
      <c r="P1141"/>
      <c r="Q1141"/>
    </row>
    <row r="1142" spans="1:33" ht="15" x14ac:dyDescent="0.25">
      <c r="A1142" s="42" t="str">
        <f>CONCATENATE("Итого по подразделу: ",IF([1]Source!G1099&lt;&gt;"Новый подраздел", [1]Source!G1099, ""))</f>
        <v>Итого по подразделу: Содержание твердых покрытий ( S-1889,1 м2)</v>
      </c>
      <c r="B1142" s="42"/>
      <c r="C1142" s="42"/>
      <c r="D1142" s="42"/>
      <c r="E1142" s="42"/>
      <c r="F1142" s="42"/>
      <c r="G1142" s="42"/>
      <c r="H1142" s="42"/>
      <c r="I1142" s="43">
        <f>SUM(AA1063:AA1141)</f>
        <v>5373065.8399999999</v>
      </c>
      <c r="J1142" s="44"/>
      <c r="K1142" s="47"/>
      <c r="L1142" s="38">
        <f>I1142</f>
        <v>5373065.8399999999</v>
      </c>
      <c r="M1142" s="2">
        <f>ROUND(I1142*$I$4874,2)</f>
        <v>3880464.94</v>
      </c>
      <c r="N1142" s="2">
        <f>ROUND(M1142*1.2/105*100,2)</f>
        <v>4434817.07</v>
      </c>
      <c r="O1142" s="2">
        <f>ROUND(N1142*0.05,2)</f>
        <v>221740.85</v>
      </c>
      <c r="P1142" s="2">
        <f>N1142+O1142</f>
        <v>4656557.92</v>
      </c>
      <c r="Q1142" s="3">
        <v>39</v>
      </c>
      <c r="S1142" s="2">
        <v>814556.77</v>
      </c>
    </row>
    <row r="1143" spans="1:33" x14ac:dyDescent="0.2">
      <c r="M1143"/>
      <c r="N1143"/>
      <c r="O1143"/>
      <c r="P1143"/>
      <c r="Q1143"/>
    </row>
    <row r="1144" spans="1:33" x14ac:dyDescent="0.2">
      <c r="M1144"/>
      <c r="N1144"/>
      <c r="O1144"/>
      <c r="P1144"/>
      <c r="Q1144"/>
    </row>
    <row r="1145" spans="1:33" ht="16.5" x14ac:dyDescent="0.25">
      <c r="A1145" s="29" t="str">
        <f>CONCATENATE("Подраздел: ",IF([1]Source!G1129&lt;&gt;"Новый подраздел", [1]Source!G1129, ""))</f>
        <v>Подраздел: Уход за подпорными стенками ( S=506,82 м2)</v>
      </c>
      <c r="B1145" s="29"/>
      <c r="C1145" s="29"/>
      <c r="D1145" s="29"/>
      <c r="E1145" s="29"/>
      <c r="F1145" s="29"/>
      <c r="G1145" s="29"/>
      <c r="H1145" s="29"/>
      <c r="I1145" s="29"/>
      <c r="J1145" s="29"/>
      <c r="K1145" s="29"/>
      <c r="M1145"/>
      <c r="N1145"/>
      <c r="O1145"/>
      <c r="P1145"/>
      <c r="Q1145"/>
    </row>
    <row r="1146" spans="1:33" ht="14.25" x14ac:dyDescent="0.2">
      <c r="A1146" s="31">
        <v>162</v>
      </c>
      <c r="B1146" s="31" t="str">
        <f>[1]Source!F1133</f>
        <v>калькуляция</v>
      </c>
      <c r="C1146" s="31" t="str">
        <f>[1]Source!G1133</f>
        <v>Очистка от снега подпорных стенок</v>
      </c>
      <c r="D1146" s="32" t="str">
        <f>[1]Source!H1133</f>
        <v>м2</v>
      </c>
      <c r="E1146" s="4">
        <f>[1]Source!I1133</f>
        <v>506.82</v>
      </c>
      <c r="F1146" s="33"/>
      <c r="G1146" s="34"/>
      <c r="H1146" s="4"/>
      <c r="I1146" s="4"/>
      <c r="J1146" s="33"/>
      <c r="K1146" s="33"/>
      <c r="M1146"/>
      <c r="N1146"/>
      <c r="O1146"/>
      <c r="P1146"/>
      <c r="Q1146"/>
      <c r="AB1146">
        <f>ROUND(([1]Source!BZ1133/100)*ROUND(([1]Source!AF1133*[1]Source!AV1133)*[1]Source!I1133, 2), 2)</f>
        <v>0</v>
      </c>
      <c r="AC1146">
        <f>[1]Source!X1133</f>
        <v>0</v>
      </c>
      <c r="AD1146">
        <f>ROUND(([1]Source!CA1133/100)*ROUND(([1]Source!AF1133*[1]Source!AV1133)*[1]Source!I1133, 2), 2)</f>
        <v>0</v>
      </c>
      <c r="AE1146">
        <f>[1]Source!Y1133</f>
        <v>0</v>
      </c>
      <c r="AF1146">
        <f>ROUND((175/100)*ROUND(([1]Source!AE1133*[1]Source!AV1133)*[1]Source!I1133, 2), 2)</f>
        <v>0</v>
      </c>
      <c r="AG1146">
        <f>ROUND((108/100)*ROUND([1]Source!CS1133*[1]Source!I1133, 2), 2)</f>
        <v>0</v>
      </c>
    </row>
    <row r="1147" spans="1:33" ht="14.25" x14ac:dyDescent="0.2">
      <c r="A1147" s="31"/>
      <c r="B1147" s="31"/>
      <c r="C1147" s="31" t="s">
        <v>34</v>
      </c>
      <c r="D1147" s="32"/>
      <c r="E1147" s="4"/>
      <c r="F1147" s="33">
        <f>[1]Source!AO1133</f>
        <v>3.45</v>
      </c>
      <c r="G1147" s="34" t="str">
        <f>[1]Source!DG1133</f>
        <v>)*1*10</v>
      </c>
      <c r="H1147" s="4">
        <f>[1]Source!AV1133</f>
        <v>1</v>
      </c>
      <c r="I1147" s="4">
        <f>IF([1]Source!BA1133&lt;&gt; 0, [1]Source!BA1133, 1)</f>
        <v>1</v>
      </c>
      <c r="J1147" s="33">
        <f>[1]Source!S1133</f>
        <v>17485.29</v>
      </c>
      <c r="K1147" s="33"/>
      <c r="M1147"/>
      <c r="N1147"/>
      <c r="O1147"/>
      <c r="P1147"/>
      <c r="Q1147"/>
    </row>
    <row r="1148" spans="1:33" ht="15" x14ac:dyDescent="0.25">
      <c r="A1148" s="35"/>
      <c r="B1148" s="35"/>
      <c r="C1148" s="35"/>
      <c r="D1148" s="35"/>
      <c r="E1148" s="35"/>
      <c r="F1148" s="35"/>
      <c r="G1148" s="35"/>
      <c r="H1148" s="35"/>
      <c r="I1148" s="36">
        <f>J1147</f>
        <v>17485.29</v>
      </c>
      <c r="J1148" s="36"/>
      <c r="K1148" s="37">
        <f>IF([1]Source!I1133&lt;&gt;0, ROUND(I1148/[1]Source!I1133, 2), 0)</f>
        <v>34.5</v>
      </c>
      <c r="M1148"/>
      <c r="N1148"/>
      <c r="O1148"/>
      <c r="P1148"/>
      <c r="Q1148"/>
      <c r="AA1148" s="38">
        <f>I1148</f>
        <v>17485.29</v>
      </c>
    </row>
    <row r="1149" spans="1:33" x14ac:dyDescent="0.2">
      <c r="M1149"/>
      <c r="N1149"/>
      <c r="O1149"/>
      <c r="P1149"/>
      <c r="Q1149"/>
    </row>
    <row r="1150" spans="1:33" ht="15" x14ac:dyDescent="0.25">
      <c r="A1150" s="42" t="str">
        <f>CONCATENATE("Итого по подразделу: ",IF([1]Source!G1135&lt;&gt;"Новый подраздел", [1]Source!G1135, ""))</f>
        <v>Итого по подразделу: Уход за подпорными стенками ( S=506,82 м2)</v>
      </c>
      <c r="B1150" s="42"/>
      <c r="C1150" s="42"/>
      <c r="D1150" s="42"/>
      <c r="E1150" s="42"/>
      <c r="F1150" s="42"/>
      <c r="G1150" s="42"/>
      <c r="H1150" s="42"/>
      <c r="I1150" s="43">
        <f>SUM(AA1145:AA1149)</f>
        <v>17485.29</v>
      </c>
      <c r="J1150" s="44"/>
      <c r="K1150" s="47"/>
      <c r="L1150" s="38">
        <f>I1150</f>
        <v>17485.29</v>
      </c>
      <c r="M1150" s="2">
        <f>ROUND(I1150*$I$4874,2)</f>
        <v>12628</v>
      </c>
      <c r="N1150" s="2">
        <f>ROUND(M1150*1.2/105*100,2)</f>
        <v>14432</v>
      </c>
      <c r="O1150" s="2">
        <f>ROUND(N1150*0.05,2)</f>
        <v>721.6</v>
      </c>
      <c r="P1150" s="2">
        <f>N1150+O1150</f>
        <v>15153.6</v>
      </c>
      <c r="Q1150" s="3">
        <v>40</v>
      </c>
      <c r="S1150" s="2">
        <v>3030.72</v>
      </c>
    </row>
    <row r="1151" spans="1:33" x14ac:dyDescent="0.2">
      <c r="M1151"/>
      <c r="N1151"/>
      <c r="O1151"/>
      <c r="P1151"/>
      <c r="Q1151"/>
    </row>
    <row r="1152" spans="1:33" x14ac:dyDescent="0.2">
      <c r="M1152"/>
      <c r="N1152"/>
      <c r="O1152"/>
      <c r="P1152"/>
      <c r="Q1152"/>
    </row>
    <row r="1153" spans="1:43" ht="30" x14ac:dyDescent="0.25">
      <c r="A1153" s="42" t="str">
        <f>CONCATENATE("Итого по разделу: ",IF([1]Source!G1165&lt;&gt;"Новый раздел", [1]Source!G1165, ""))</f>
        <v>Итого по разделу: Содержание твердых покрытий и подпорных стенок Москворецкой набережной.( S = 1889,1 м2 + 506,82 м2).</v>
      </c>
      <c r="B1153" s="42"/>
      <c r="C1153" s="42"/>
      <c r="D1153" s="42"/>
      <c r="E1153" s="42"/>
      <c r="F1153" s="42"/>
      <c r="G1153" s="42"/>
      <c r="H1153" s="42"/>
      <c r="I1153" s="43">
        <f>SUM(AA1061:AA1152)</f>
        <v>5390551.1299999999</v>
      </c>
      <c r="J1153" s="44"/>
      <c r="K1153" s="47"/>
      <c r="L1153" s="38">
        <f>I1153</f>
        <v>5390551.1299999999</v>
      </c>
      <c r="M1153" s="2">
        <f>M1142+M1150</f>
        <v>3893092.94</v>
      </c>
      <c r="N1153" s="2">
        <f>N1142+N1150</f>
        <v>4449249.07</v>
      </c>
      <c r="O1153" s="2">
        <f>ROUND(N1153*0.05,2)</f>
        <v>222462.45</v>
      </c>
      <c r="P1153" s="2">
        <f>SUM(P1142:P1150)</f>
        <v>4671711.5199999996</v>
      </c>
      <c r="Q1153" s="48"/>
      <c r="R1153">
        <v>2</v>
      </c>
      <c r="AQ1153" s="46" t="str">
        <f>CONCATENATE("Итого по разделу: ",IF([1]Source!G1165&lt;&gt;"Новый раздел", [1]Source!G1165, ""))</f>
        <v>Итого по разделу: Содержание твердых покрытий и подпорных стенок Москворецкой набережной.( S = 1889,1 м2 + 506,82 м2).</v>
      </c>
    </row>
    <row r="1154" spans="1:43" x14ac:dyDescent="0.2">
      <c r="M1154"/>
      <c r="N1154"/>
      <c r="O1154"/>
      <c r="P1154"/>
      <c r="Q1154"/>
    </row>
    <row r="1155" spans="1:43" x14ac:dyDescent="0.2">
      <c r="M1155"/>
      <c r="N1155"/>
      <c r="O1155"/>
      <c r="P1155"/>
      <c r="Q1155"/>
    </row>
    <row r="1156" spans="1:43" ht="16.5" x14ac:dyDescent="0.25">
      <c r="A1156" s="29" t="str">
        <f>CONCATENATE("Раздел: ",IF([1]Source!G1195&lt;&gt;"Новый раздел", [1]Source!G1195, ""))</f>
        <v>Раздел: Уход за подпорными гранитными стенками. ( S=3271,02 м2 )</v>
      </c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M1156"/>
      <c r="N1156"/>
      <c r="O1156"/>
      <c r="P1156"/>
      <c r="Q1156"/>
    </row>
    <row r="1157" spans="1:43" ht="14.25" x14ac:dyDescent="0.2">
      <c r="A1157" s="31">
        <v>163</v>
      </c>
      <c r="B1157" s="31" t="str">
        <f>[1]Source!F1199</f>
        <v>калькуляция</v>
      </c>
      <c r="C1157" s="31" t="str">
        <f>[1]Source!G1199</f>
        <v>Очистка от снега подпорных стенок</v>
      </c>
      <c r="D1157" s="32" t="str">
        <f>[1]Source!H1199</f>
        <v>м2</v>
      </c>
      <c r="E1157" s="4">
        <f>[1]Source!I1199</f>
        <v>3271.02</v>
      </c>
      <c r="F1157" s="33"/>
      <c r="G1157" s="34"/>
      <c r="H1157" s="4"/>
      <c r="I1157" s="4"/>
      <c r="J1157" s="33"/>
      <c r="K1157" s="33"/>
      <c r="M1157"/>
      <c r="N1157"/>
      <c r="O1157"/>
      <c r="P1157"/>
      <c r="Q1157"/>
      <c r="AB1157">
        <f>ROUND(([1]Source!BZ1199/100)*ROUND(([1]Source!AF1199*[1]Source!AV1199)*[1]Source!I1199, 2), 2)</f>
        <v>0</v>
      </c>
      <c r="AC1157">
        <f>[1]Source!X1199</f>
        <v>0</v>
      </c>
      <c r="AD1157">
        <f>ROUND(([1]Source!CA1199/100)*ROUND(([1]Source!AF1199*[1]Source!AV1199)*[1]Source!I1199, 2), 2)</f>
        <v>0</v>
      </c>
      <c r="AE1157">
        <f>[1]Source!Y1199</f>
        <v>0</v>
      </c>
      <c r="AF1157">
        <f>ROUND((175/100)*ROUND(([1]Source!AE1199*[1]Source!AV1199)*[1]Source!I1199, 2), 2)</f>
        <v>0</v>
      </c>
      <c r="AG1157">
        <f>ROUND((108/100)*ROUND([1]Source!CS1199*[1]Source!I1199, 2), 2)</f>
        <v>0</v>
      </c>
    </row>
    <row r="1158" spans="1:43" ht="14.25" x14ac:dyDescent="0.2">
      <c r="A1158" s="31"/>
      <c r="B1158" s="31"/>
      <c r="C1158" s="31" t="s">
        <v>34</v>
      </c>
      <c r="D1158" s="32"/>
      <c r="E1158" s="4"/>
      <c r="F1158" s="33">
        <f>[1]Source!AO1199</f>
        <v>3.45</v>
      </c>
      <c r="G1158" s="34" t="str">
        <f>[1]Source!DG1199</f>
        <v>)*1*10</v>
      </c>
      <c r="H1158" s="4">
        <f>[1]Source!AV1199</f>
        <v>1</v>
      </c>
      <c r="I1158" s="4">
        <f>IF([1]Source!BA1199&lt;&gt; 0, [1]Source!BA1199, 1)</f>
        <v>1</v>
      </c>
      <c r="J1158" s="33">
        <f>[1]Source!S1199</f>
        <v>112850.19</v>
      </c>
      <c r="K1158" s="33"/>
      <c r="M1158"/>
      <c r="N1158"/>
      <c r="O1158"/>
      <c r="P1158"/>
      <c r="Q1158"/>
    </row>
    <row r="1159" spans="1:43" ht="15" x14ac:dyDescent="0.25">
      <c r="A1159" s="35"/>
      <c r="B1159" s="35"/>
      <c r="C1159" s="35"/>
      <c r="D1159" s="35"/>
      <c r="E1159" s="35"/>
      <c r="F1159" s="35"/>
      <c r="G1159" s="35"/>
      <c r="H1159" s="35"/>
      <c r="I1159" s="36">
        <f>J1158</f>
        <v>112850.19</v>
      </c>
      <c r="J1159" s="36"/>
      <c r="K1159" s="37">
        <f>IF([1]Source!I1199&lt;&gt;0, ROUND(I1159/[1]Source!I1199, 2), 0)</f>
        <v>34.5</v>
      </c>
      <c r="M1159"/>
      <c r="N1159"/>
      <c r="O1159"/>
      <c r="P1159"/>
      <c r="Q1159"/>
      <c r="AA1159" s="38">
        <f>I1159</f>
        <v>112850.19</v>
      </c>
    </row>
    <row r="1160" spans="1:43" x14ac:dyDescent="0.2">
      <c r="M1160"/>
      <c r="N1160"/>
      <c r="O1160"/>
      <c r="P1160"/>
      <c r="Q1160"/>
    </row>
    <row r="1161" spans="1:43" ht="15" x14ac:dyDescent="0.25">
      <c r="A1161" s="42" t="str">
        <f>CONCATENATE("Итого по разделу: ",IF([1]Source!G1201&lt;&gt;"Новый раздел", [1]Source!G1201, ""))</f>
        <v>Итого по разделу: Уход за подпорными гранитными стенками. ( S=3271,02 м2 )</v>
      </c>
      <c r="B1161" s="42"/>
      <c r="C1161" s="42"/>
      <c r="D1161" s="42"/>
      <c r="E1161" s="42"/>
      <c r="F1161" s="42"/>
      <c r="G1161" s="42"/>
      <c r="H1161" s="42"/>
      <c r="I1161" s="43">
        <f>SUM(AA1156:AA1160)</f>
        <v>112850.19</v>
      </c>
      <c r="J1161" s="44"/>
      <c r="K1161" s="47"/>
      <c r="L1161" s="38">
        <f>I1161</f>
        <v>112850.19</v>
      </c>
      <c r="M1161" s="2">
        <f>ROUND(I1161*$I$4874,2)</f>
        <v>81501.179999999993</v>
      </c>
      <c r="N1161" s="2">
        <f>ROUND(M1161*1.2/105*100,2)</f>
        <v>93144.21</v>
      </c>
      <c r="O1161" s="2">
        <f>ROUND(N1161*0.05,2)</f>
        <v>4657.21</v>
      </c>
      <c r="P1161" s="2">
        <f>N1161+O1161</f>
        <v>97801.420000000013</v>
      </c>
      <c r="Q1161" s="3">
        <v>44</v>
      </c>
      <c r="R1161">
        <v>2</v>
      </c>
      <c r="S1161" s="2">
        <v>19560.28</v>
      </c>
    </row>
    <row r="1162" spans="1:43" x14ac:dyDescent="0.2">
      <c r="M1162"/>
      <c r="N1162"/>
      <c r="O1162"/>
      <c r="P1162"/>
      <c r="Q1162"/>
    </row>
    <row r="1163" spans="1:43" x14ac:dyDescent="0.2">
      <c r="M1163"/>
      <c r="N1163"/>
      <c r="O1163"/>
      <c r="P1163"/>
      <c r="Q1163"/>
    </row>
    <row r="1164" spans="1:43" ht="16.5" x14ac:dyDescent="0.25">
      <c r="A1164" s="29" t="str">
        <f>CONCATENATE("Раздел: ",IF([1]Source!G1231&lt;&gt;"Новый раздел", [1]Source!G1231, ""))</f>
        <v>Раздел: Уход за ограждениями бетонными, обшитых деревом ( S=1050 м2)</v>
      </c>
      <c r="B1164" s="29"/>
      <c r="C1164" s="29"/>
      <c r="D1164" s="29"/>
      <c r="E1164" s="29"/>
      <c r="F1164" s="29"/>
      <c r="G1164" s="29"/>
      <c r="H1164" s="29"/>
      <c r="I1164" s="29"/>
      <c r="J1164" s="29"/>
      <c r="K1164" s="29"/>
      <c r="M1164"/>
      <c r="N1164"/>
      <c r="O1164"/>
      <c r="P1164"/>
      <c r="Q1164"/>
    </row>
    <row r="1165" spans="1:43" ht="28.5" x14ac:dyDescent="0.2">
      <c r="A1165" s="31">
        <v>164</v>
      </c>
      <c r="B1165" s="31" t="str">
        <f>[1]Source!F1235</f>
        <v>калькуляция</v>
      </c>
      <c r="C1165" s="31" t="str">
        <f>[1]Source!G1235</f>
        <v>Очистка от снега тумб бетонных обшитых деревом</v>
      </c>
      <c r="D1165" s="32" t="str">
        <f>[1]Source!H1235</f>
        <v>м2</v>
      </c>
      <c r="E1165" s="4">
        <f>[1]Source!I1235</f>
        <v>1050</v>
      </c>
      <c r="F1165" s="33"/>
      <c r="G1165" s="34"/>
      <c r="H1165" s="4"/>
      <c r="I1165" s="4"/>
      <c r="J1165" s="33"/>
      <c r="K1165" s="33"/>
      <c r="M1165"/>
      <c r="N1165"/>
      <c r="O1165"/>
      <c r="P1165"/>
      <c r="Q1165"/>
      <c r="AB1165">
        <f>ROUND(([1]Source!BZ1235/100)*ROUND(([1]Source!AF1235*[1]Source!AV1235)*[1]Source!I1235, 2), 2)</f>
        <v>0</v>
      </c>
      <c r="AC1165">
        <f>[1]Source!X1235</f>
        <v>0</v>
      </c>
      <c r="AD1165">
        <f>ROUND(([1]Source!CA1235/100)*ROUND(([1]Source!AF1235*[1]Source!AV1235)*[1]Source!I1235, 2), 2)</f>
        <v>0</v>
      </c>
      <c r="AE1165">
        <f>[1]Source!Y1235</f>
        <v>0</v>
      </c>
      <c r="AF1165">
        <f>ROUND((175/100)*ROUND(([1]Source!AE1235*[1]Source!AV1235)*[1]Source!I1235, 2), 2)</f>
        <v>0</v>
      </c>
      <c r="AG1165">
        <f>ROUND((108/100)*ROUND([1]Source!CS1235*[1]Source!I1235, 2), 2)</f>
        <v>0</v>
      </c>
    </row>
    <row r="1166" spans="1:43" ht="14.25" x14ac:dyDescent="0.2">
      <c r="A1166" s="31"/>
      <c r="B1166" s="31"/>
      <c r="C1166" s="31" t="s">
        <v>34</v>
      </c>
      <c r="D1166" s="32"/>
      <c r="E1166" s="4"/>
      <c r="F1166" s="33">
        <f>[1]Source!AO1235</f>
        <v>1.73</v>
      </c>
      <c r="G1166" s="34" t="str">
        <f>[1]Source!DG1235</f>
        <v>)*1*168</v>
      </c>
      <c r="H1166" s="4">
        <f>[1]Source!AV1235</f>
        <v>1</v>
      </c>
      <c r="I1166" s="4">
        <f>IF([1]Source!BA1235&lt;&gt; 0, [1]Source!BA1235, 1)</f>
        <v>1</v>
      </c>
      <c r="J1166" s="33">
        <f>[1]Source!S1235</f>
        <v>305172</v>
      </c>
      <c r="K1166" s="33"/>
      <c r="M1166"/>
      <c r="N1166"/>
      <c r="O1166"/>
      <c r="P1166"/>
      <c r="Q1166"/>
    </row>
    <row r="1167" spans="1:43" ht="15" x14ac:dyDescent="0.25">
      <c r="A1167" s="35"/>
      <c r="B1167" s="35"/>
      <c r="C1167" s="35"/>
      <c r="D1167" s="35"/>
      <c r="E1167" s="35"/>
      <c r="F1167" s="35"/>
      <c r="G1167" s="35"/>
      <c r="H1167" s="35"/>
      <c r="I1167" s="36">
        <f>J1166</f>
        <v>305172</v>
      </c>
      <c r="J1167" s="36"/>
      <c r="K1167" s="37">
        <f>IF([1]Source!I1235&lt;&gt;0, ROUND(I1167/[1]Source!I1235, 2), 0)</f>
        <v>290.64</v>
      </c>
      <c r="M1167"/>
      <c r="N1167"/>
      <c r="O1167"/>
      <c r="P1167"/>
      <c r="Q1167"/>
      <c r="AA1167" s="38">
        <f>I1167</f>
        <v>305172</v>
      </c>
    </row>
    <row r="1168" spans="1:43" x14ac:dyDescent="0.2">
      <c r="M1168"/>
      <c r="N1168"/>
      <c r="O1168"/>
      <c r="P1168"/>
      <c r="Q1168"/>
    </row>
    <row r="1169" spans="1:43" ht="15" x14ac:dyDescent="0.25">
      <c r="A1169" s="42" t="str">
        <f>CONCATENATE("Итого по разделу: ",IF([1]Source!G1237&lt;&gt;"Новый раздел", [1]Source!G1237, ""))</f>
        <v>Итого по разделу: Уход за ограждениями бетонными, обшитых деревом ( S=1050 м2)</v>
      </c>
      <c r="B1169" s="42"/>
      <c r="C1169" s="42"/>
      <c r="D1169" s="42"/>
      <c r="E1169" s="42"/>
      <c r="F1169" s="42"/>
      <c r="G1169" s="42"/>
      <c r="H1169" s="42"/>
      <c r="I1169" s="43">
        <f>SUM(AA1164:AA1168)</f>
        <v>305172</v>
      </c>
      <c r="J1169" s="44"/>
      <c r="K1169" s="47"/>
      <c r="L1169" s="38">
        <f>I1169</f>
        <v>305172</v>
      </c>
      <c r="M1169" s="2">
        <f>ROUND(I1169*$I$4874,2)</f>
        <v>220397.31</v>
      </c>
      <c r="N1169" s="2">
        <f>ROUND(M1169*1.2/105*100,2)</f>
        <v>251882.64</v>
      </c>
      <c r="O1169" s="2">
        <f>ROUND(N1169*0.05,2)</f>
        <v>12594.13</v>
      </c>
      <c r="P1169" s="2">
        <f>N1169+O1169</f>
        <v>264476.77</v>
      </c>
      <c r="Q1169" s="3">
        <v>45</v>
      </c>
      <c r="R1169">
        <v>2</v>
      </c>
      <c r="S1169" s="2">
        <v>50376.53</v>
      </c>
      <c r="AQ1169" s="46" t="str">
        <f>CONCATENATE("Итого по разделу: ",IF([1]Source!G1237&lt;&gt;"Новый раздел", [1]Source!G1237, ""))</f>
        <v>Итого по разделу: Уход за ограждениями бетонными, обшитых деревом ( S=1050 м2)</v>
      </c>
    </row>
    <row r="1170" spans="1:43" x14ac:dyDescent="0.2">
      <c r="M1170"/>
      <c r="N1170"/>
      <c r="O1170"/>
      <c r="P1170"/>
      <c r="Q1170"/>
    </row>
    <row r="1171" spans="1:43" x14ac:dyDescent="0.2">
      <c r="M1171"/>
      <c r="N1171"/>
      <c r="O1171"/>
      <c r="P1171"/>
      <c r="Q1171"/>
    </row>
    <row r="1172" spans="1:43" ht="16.5" x14ac:dyDescent="0.25">
      <c r="A1172" s="29" t="str">
        <f>CONCATENATE("Раздел: ",IF([1]Source!G1267&lt;&gt;"Новый раздел", [1]Source!G1267, ""))</f>
        <v>Раздел: Уход за поручнями и  ограждениями со стеклянными вставками</v>
      </c>
      <c r="B1172" s="29"/>
      <c r="C1172" s="29"/>
      <c r="D1172" s="29"/>
      <c r="E1172" s="29"/>
      <c r="F1172" s="29"/>
      <c r="G1172" s="29"/>
      <c r="H1172" s="29"/>
      <c r="I1172" s="29"/>
      <c r="J1172" s="29"/>
      <c r="K1172" s="29"/>
      <c r="M1172"/>
      <c r="N1172"/>
      <c r="O1172"/>
      <c r="P1172"/>
      <c r="Q1172"/>
    </row>
    <row r="1173" spans="1:43" ht="57" x14ac:dyDescent="0.2">
      <c r="A1173" s="31">
        <v>165</v>
      </c>
      <c r="B1173" s="31" t="str">
        <f>[1]Source!F1271</f>
        <v>калькуляция</v>
      </c>
      <c r="C1173" s="31" t="str">
        <f>[1]Source!G1271</f>
        <v>Уход за поручнями из нержавеющей  стали и металлическими поверхностями ограждений со стеклянными вставками</v>
      </c>
      <c r="D1173" s="32" t="str">
        <f>[1]Source!H1271</f>
        <v>м</v>
      </c>
      <c r="E1173" s="4">
        <f>[1]Source!I1271</f>
        <v>2596.8000000000002</v>
      </c>
      <c r="F1173" s="33"/>
      <c r="G1173" s="34"/>
      <c r="H1173" s="4"/>
      <c r="I1173" s="4"/>
      <c r="J1173" s="33"/>
      <c r="K1173" s="33"/>
      <c r="M1173"/>
      <c r="N1173"/>
      <c r="O1173"/>
      <c r="P1173"/>
      <c r="Q1173"/>
      <c r="AB1173">
        <f>ROUND(([1]Source!BZ1271/100)*ROUND(([1]Source!AF1271*[1]Source!AV1271)*[1]Source!I1271, 2), 2)</f>
        <v>0</v>
      </c>
      <c r="AC1173">
        <f>[1]Source!X1271</f>
        <v>0</v>
      </c>
      <c r="AD1173">
        <f>ROUND(([1]Source!CA1271/100)*ROUND(([1]Source!AF1271*[1]Source!AV1271)*[1]Source!I1271, 2), 2)</f>
        <v>0</v>
      </c>
      <c r="AE1173">
        <f>[1]Source!Y1271</f>
        <v>0</v>
      </c>
      <c r="AF1173">
        <f>ROUND((175/100)*ROUND(([1]Source!AE1271*[1]Source!AV1271)*[1]Source!I1271, 2), 2)</f>
        <v>0</v>
      </c>
      <c r="AG1173">
        <f>ROUND((108/100)*ROUND([1]Source!CS1271*[1]Source!I1271, 2), 2)</f>
        <v>0</v>
      </c>
    </row>
    <row r="1174" spans="1:43" ht="14.25" x14ac:dyDescent="0.2">
      <c r="A1174" s="31"/>
      <c r="B1174" s="31"/>
      <c r="C1174" s="31" t="s">
        <v>34</v>
      </c>
      <c r="D1174" s="32"/>
      <c r="E1174" s="4"/>
      <c r="F1174" s="33">
        <f>[1]Source!AO1271</f>
        <v>0.28000000000000003</v>
      </c>
      <c r="G1174" s="34" t="str">
        <f>[1]Source!DG1271</f>
        <v>)*1*168</v>
      </c>
      <c r="H1174" s="4">
        <f>[1]Source!AV1271</f>
        <v>1</v>
      </c>
      <c r="I1174" s="4">
        <f>IF([1]Source!BA1271&lt;&gt; 0, [1]Source!BA1271, 1)</f>
        <v>1</v>
      </c>
      <c r="J1174" s="33">
        <f>[1]Source!S1271</f>
        <v>122153.47</v>
      </c>
      <c r="K1174" s="33"/>
      <c r="M1174"/>
      <c r="N1174"/>
      <c r="O1174"/>
      <c r="P1174"/>
      <c r="Q1174"/>
    </row>
    <row r="1175" spans="1:43" ht="28.5" x14ac:dyDescent="0.2">
      <c r="A1175" s="31" t="s">
        <v>82</v>
      </c>
      <c r="B1175" s="31" t="str">
        <f>[1]Source!F1272</f>
        <v>цена поставщика</v>
      </c>
      <c r="C1175" s="31" t="str">
        <f>[1]Source!G1272</f>
        <v>Средство моющее незамерзающее для протирки Биомол АД-У</v>
      </c>
      <c r="D1175" s="32" t="str">
        <f>[1]Source!H1272</f>
        <v>л</v>
      </c>
      <c r="E1175" s="4">
        <f>[1]Source!I1272</f>
        <v>87.252480000000006</v>
      </c>
      <c r="F1175" s="33">
        <f>[1]Source!AK1272</f>
        <v>236.78</v>
      </c>
      <c r="G1175" s="39" t="s">
        <v>83</v>
      </c>
      <c r="H1175" s="4">
        <f>[1]Source!AW1272</f>
        <v>1</v>
      </c>
      <c r="I1175" s="4">
        <f>IF([1]Source!BC1272&lt;&gt; 0, [1]Source!BC1272, 1)</f>
        <v>1</v>
      </c>
      <c r="J1175" s="33">
        <f>[1]Source!O1272</f>
        <v>20659.64</v>
      </c>
      <c r="K1175" s="33"/>
      <c r="M1175"/>
      <c r="N1175"/>
      <c r="O1175"/>
      <c r="P1175"/>
      <c r="Q1175"/>
      <c r="AB1175">
        <f>ROUND(([1]Source!BZ1272/100)*ROUND(([1]Source!AF1272*[1]Source!AV1272)*[1]Source!I1272, 2), 2)</f>
        <v>0</v>
      </c>
      <c r="AC1175">
        <f>[1]Source!X1272</f>
        <v>0</v>
      </c>
      <c r="AD1175">
        <f>ROUND(([1]Source!CA1272/100)*ROUND(([1]Source!AF1272*[1]Source!AV1272)*[1]Source!I1272, 2), 2)</f>
        <v>0</v>
      </c>
      <c r="AE1175">
        <f>[1]Source!Y1272</f>
        <v>0</v>
      </c>
      <c r="AF1175">
        <f>ROUND((175/100)*ROUND(([1]Source!AE1272*[1]Source!AV1272)*[1]Source!I1272, 2), 2)</f>
        <v>0</v>
      </c>
      <c r="AG1175">
        <f>ROUND((108/100)*ROUND([1]Source!CS1272*[1]Source!I1272, 2), 2)</f>
        <v>0</v>
      </c>
    </row>
    <row r="1176" spans="1:43" ht="15" x14ac:dyDescent="0.25">
      <c r="A1176" s="35"/>
      <c r="B1176" s="35"/>
      <c r="C1176" s="35"/>
      <c r="D1176" s="35"/>
      <c r="E1176" s="35"/>
      <c r="F1176" s="35"/>
      <c r="G1176" s="35"/>
      <c r="H1176" s="35"/>
      <c r="I1176" s="36">
        <f>J1174+SUM(J1175:J1175)</f>
        <v>142813.10999999999</v>
      </c>
      <c r="J1176" s="36"/>
      <c r="K1176" s="37">
        <f>IF([1]Source!I1271&lt;&gt;0, ROUND(I1176/[1]Source!I1271, 2), 0)</f>
        <v>55</v>
      </c>
      <c r="M1176"/>
      <c r="N1176"/>
      <c r="O1176"/>
      <c r="P1176"/>
      <c r="Q1176"/>
      <c r="AA1176" s="38">
        <f>I1176</f>
        <v>142813.10999999999</v>
      </c>
    </row>
    <row r="1177" spans="1:43" x14ac:dyDescent="0.2">
      <c r="M1177"/>
      <c r="N1177"/>
      <c r="O1177"/>
      <c r="P1177"/>
      <c r="Q1177"/>
    </row>
    <row r="1178" spans="1:43" ht="15" x14ac:dyDescent="0.25">
      <c r="A1178" s="42" t="str">
        <f>CONCATENATE("Итого по разделу: ",IF([1]Source!G1274&lt;&gt;"Новый раздел", [1]Source!G1274, ""))</f>
        <v>Итого по разделу: Уход за поручнями и  ограждениями со стеклянными вставками</v>
      </c>
      <c r="B1178" s="42"/>
      <c r="C1178" s="42"/>
      <c r="D1178" s="42"/>
      <c r="E1178" s="42"/>
      <c r="F1178" s="42"/>
      <c r="G1178" s="42"/>
      <c r="H1178" s="42"/>
      <c r="I1178" s="43">
        <f>SUM(AA1172:AA1177)</f>
        <v>142813.10999999999</v>
      </c>
      <c r="J1178" s="44"/>
      <c r="K1178" s="47"/>
      <c r="L1178" s="38">
        <f>I1178</f>
        <v>142813.10999999999</v>
      </c>
      <c r="M1178" s="2">
        <f>ROUND(I1178*$I$4874,2)</f>
        <v>103140.61</v>
      </c>
      <c r="N1178" s="2">
        <f>ROUND(M1178*1.2/105*100,2)</f>
        <v>117874.98</v>
      </c>
      <c r="O1178" s="2">
        <f>ROUND(N1178*0.05,2)</f>
        <v>5893.75</v>
      </c>
      <c r="P1178" s="2">
        <f>N1178+O1178</f>
        <v>123768.73</v>
      </c>
      <c r="Q1178" s="3">
        <v>46</v>
      </c>
      <c r="R1178">
        <v>2</v>
      </c>
      <c r="S1178" s="2">
        <v>30831.42</v>
      </c>
      <c r="AQ1178" s="46" t="str">
        <f>CONCATENATE("Итого по разделу: ",IF([1]Source!G1274&lt;&gt;"Новый раздел", [1]Source!G1274, ""))</f>
        <v>Итого по разделу: Уход за поручнями и  ограждениями со стеклянными вставками</v>
      </c>
    </row>
    <row r="1179" spans="1:43" x14ac:dyDescent="0.2">
      <c r="M1179"/>
      <c r="N1179"/>
      <c r="O1179"/>
      <c r="P1179"/>
      <c r="Q1179"/>
    </row>
    <row r="1180" spans="1:43" x14ac:dyDescent="0.2">
      <c r="M1180"/>
      <c r="N1180"/>
      <c r="O1180"/>
      <c r="P1180"/>
      <c r="Q1180"/>
    </row>
    <row r="1181" spans="1:43" ht="16.5" x14ac:dyDescent="0.25">
      <c r="A1181" s="29" t="str">
        <f>CONCATENATE("Раздел: ",IF([1]Source!G1304&lt;&gt;"Новый раздел", [1]Source!G1304, ""))</f>
        <v>Раздел: Уход за ограждениями эвакуационных выходов ( S=438,36 м2)</v>
      </c>
      <c r="B1181" s="29"/>
      <c r="C1181" s="29"/>
      <c r="D1181" s="29"/>
      <c r="E1181" s="29"/>
      <c r="F1181" s="29"/>
      <c r="G1181" s="29"/>
      <c r="H1181" s="29"/>
      <c r="I1181" s="29"/>
      <c r="J1181" s="29"/>
      <c r="K1181" s="29"/>
      <c r="M1181"/>
      <c r="N1181"/>
      <c r="O1181"/>
      <c r="P1181"/>
      <c r="Q1181"/>
    </row>
    <row r="1182" spans="1:43" ht="42.75" x14ac:dyDescent="0.2">
      <c r="A1182" s="31">
        <v>166</v>
      </c>
      <c r="B1182" s="31" t="str">
        <f>[1]Source!F1308</f>
        <v>цена поставщика</v>
      </c>
      <c r="C1182" s="31" t="str">
        <f>[1]Source!G1308</f>
        <v>Очистка от снега и наледи поверхности ограждения ручным способом</v>
      </c>
      <c r="D1182" s="32" t="str">
        <f>[1]Source!H1308</f>
        <v>м2</v>
      </c>
      <c r="E1182" s="4">
        <f>[1]Source!I1308</f>
        <v>438.36</v>
      </c>
      <c r="F1182" s="33"/>
      <c r="G1182" s="34"/>
      <c r="H1182" s="4"/>
      <c r="I1182" s="4"/>
      <c r="J1182" s="33"/>
      <c r="K1182" s="33"/>
      <c r="M1182"/>
      <c r="N1182"/>
      <c r="O1182"/>
      <c r="P1182"/>
      <c r="Q1182"/>
      <c r="AB1182">
        <f>ROUND(([1]Source!BZ1308/100)*ROUND(([1]Source!AF1308*[1]Source!AV1308)*[1]Source!I1308, 2), 2)</f>
        <v>0</v>
      </c>
      <c r="AC1182">
        <f>[1]Source!X1308</f>
        <v>0</v>
      </c>
      <c r="AD1182">
        <f>ROUND(([1]Source!CA1308/100)*ROUND(([1]Source!AF1308*[1]Source!AV1308)*[1]Source!I1308, 2), 2)</f>
        <v>0</v>
      </c>
      <c r="AE1182">
        <f>[1]Source!Y1308</f>
        <v>0</v>
      </c>
      <c r="AF1182">
        <f>ROUND((175/100)*ROUND(([1]Source!AE1308*[1]Source!AV1308)*[1]Source!I1308, 2), 2)</f>
        <v>0</v>
      </c>
      <c r="AG1182">
        <f>ROUND((108/100)*ROUND([1]Source!CS1308*[1]Source!I1308, 2), 2)</f>
        <v>0</v>
      </c>
    </row>
    <row r="1183" spans="1:43" ht="14.25" x14ac:dyDescent="0.2">
      <c r="A1183" s="31"/>
      <c r="B1183" s="31"/>
      <c r="C1183" s="31" t="s">
        <v>34</v>
      </c>
      <c r="D1183" s="32"/>
      <c r="E1183" s="4"/>
      <c r="F1183" s="33">
        <f>[1]Source!AO1308</f>
        <v>5.13</v>
      </c>
      <c r="G1183" s="34" t="str">
        <f>[1]Source!DG1308</f>
        <v>)*1*48</v>
      </c>
      <c r="H1183" s="4">
        <f>[1]Source!AV1308</f>
        <v>1</v>
      </c>
      <c r="I1183" s="4">
        <f>IF([1]Source!BA1308&lt;&gt; 0, [1]Source!BA1308, 1)</f>
        <v>1</v>
      </c>
      <c r="J1183" s="33">
        <f>[1]Source!S1308</f>
        <v>107941.77</v>
      </c>
      <c r="K1183" s="33"/>
      <c r="M1183"/>
      <c r="N1183"/>
      <c r="O1183"/>
      <c r="P1183"/>
      <c r="Q1183"/>
    </row>
    <row r="1184" spans="1:43" ht="15" x14ac:dyDescent="0.25">
      <c r="A1184" s="35"/>
      <c r="B1184" s="35"/>
      <c r="C1184" s="35"/>
      <c r="D1184" s="35"/>
      <c r="E1184" s="35"/>
      <c r="F1184" s="35"/>
      <c r="G1184" s="35"/>
      <c r="H1184" s="35"/>
      <c r="I1184" s="36">
        <f>J1183</f>
        <v>107941.77</v>
      </c>
      <c r="J1184" s="36"/>
      <c r="K1184" s="37">
        <f>IF([1]Source!I1308&lt;&gt;0, ROUND(I1184/[1]Source!I1308, 2), 0)</f>
        <v>246.24</v>
      </c>
      <c r="M1184"/>
      <c r="N1184"/>
      <c r="O1184"/>
      <c r="P1184"/>
      <c r="Q1184"/>
      <c r="AA1184" s="38">
        <f>I1184</f>
        <v>107941.77</v>
      </c>
    </row>
    <row r="1185" spans="1:43" x14ac:dyDescent="0.2">
      <c r="M1185"/>
      <c r="N1185"/>
      <c r="O1185"/>
      <c r="P1185"/>
      <c r="Q1185"/>
    </row>
    <row r="1186" spans="1:43" ht="15" x14ac:dyDescent="0.25">
      <c r="A1186" s="42" t="str">
        <f>CONCATENATE("Итого по разделу: ",IF([1]Source!G1310&lt;&gt;"Новый раздел", [1]Source!G1310, ""))</f>
        <v>Итого по разделу: Уход за ограждениями эвакуационных выходов ( S=438,36 м2)</v>
      </c>
      <c r="B1186" s="42"/>
      <c r="C1186" s="42"/>
      <c r="D1186" s="42"/>
      <c r="E1186" s="42"/>
      <c r="F1186" s="42"/>
      <c r="G1186" s="42"/>
      <c r="H1186" s="42"/>
      <c r="I1186" s="43">
        <f>SUM(AA1181:AA1185)</f>
        <v>107941.77</v>
      </c>
      <c r="J1186" s="44"/>
      <c r="K1186" s="47"/>
      <c r="L1186" s="38">
        <f>I1186</f>
        <v>107941.77</v>
      </c>
      <c r="M1186" s="2">
        <f>ROUND(I1186*$I$4874,2)</f>
        <v>77956.289999999994</v>
      </c>
      <c r="N1186" s="2">
        <f>ROUND(M1186*1.2/105*100,2)</f>
        <v>89092.9</v>
      </c>
      <c r="O1186" s="2">
        <f>ROUND(N1186*0.05,2)</f>
        <v>4454.6499999999996</v>
      </c>
      <c r="P1186" s="2">
        <f>N1186+O1186</f>
        <v>93547.549999999988</v>
      </c>
      <c r="Q1186" s="3">
        <v>49</v>
      </c>
      <c r="R1186">
        <v>2</v>
      </c>
      <c r="S1186" s="2">
        <v>25335.78</v>
      </c>
      <c r="AQ1186" s="46" t="str">
        <f>CONCATENATE("Итого по разделу: ",IF([1]Source!G1310&lt;&gt;"Новый раздел", [1]Source!G1310, ""))</f>
        <v>Итого по разделу: Уход за ограждениями эвакуационных выходов ( S=438,36 м2)</v>
      </c>
    </row>
    <row r="1187" spans="1:43" x14ac:dyDescent="0.2">
      <c r="M1187"/>
      <c r="N1187"/>
      <c r="O1187"/>
      <c r="P1187"/>
      <c r="Q1187"/>
    </row>
    <row r="1188" spans="1:43" x14ac:dyDescent="0.2">
      <c r="M1188"/>
      <c r="N1188"/>
      <c r="O1188"/>
      <c r="P1188"/>
      <c r="Q1188"/>
    </row>
    <row r="1189" spans="1:43" ht="16.5" x14ac:dyDescent="0.25">
      <c r="A1189" s="29" t="str">
        <f>CONCATENATE("Раздел: ",IF([1]Source!G1340&lt;&gt;"Новый раздел", [1]Source!G1340, ""))</f>
        <v>Раздел: Содержание покрытий "Варьиной площади" + Москворецкая улица ( S= 6574,7 м2 ).</v>
      </c>
      <c r="B1189" s="29"/>
      <c r="C1189" s="29"/>
      <c r="D1189" s="29"/>
      <c r="E1189" s="29"/>
      <c r="F1189" s="29"/>
      <c r="G1189" s="29"/>
      <c r="H1189" s="29"/>
      <c r="I1189" s="29"/>
      <c r="J1189" s="29"/>
      <c r="K1189" s="29"/>
      <c r="M1189"/>
      <c r="N1189"/>
      <c r="O1189"/>
      <c r="P1189"/>
      <c r="Q1189"/>
    </row>
    <row r="1190" spans="1:43" ht="42.75" x14ac:dyDescent="0.2">
      <c r="A1190" s="31">
        <v>167</v>
      </c>
      <c r="B1190" s="31" t="str">
        <f>[1]Source!F1344</f>
        <v>калькуляция</v>
      </c>
      <c r="C1190" s="31" t="str">
        <f>[1]Source!G1344</f>
        <v>Подметание  механизированным способом ( S=6574,7 м2 *0,7=4602,29 м2)</v>
      </c>
      <c r="D1190" s="32" t="str">
        <f>[1]Source!H1344</f>
        <v>м2</v>
      </c>
      <c r="E1190" s="4">
        <f>[1]Source!I1344</f>
        <v>4602.29</v>
      </c>
      <c r="F1190" s="33"/>
      <c r="G1190" s="34"/>
      <c r="H1190" s="4"/>
      <c r="I1190" s="4"/>
      <c r="J1190" s="33"/>
      <c r="K1190" s="33"/>
      <c r="M1190"/>
      <c r="N1190"/>
      <c r="O1190"/>
      <c r="P1190"/>
      <c r="Q1190"/>
      <c r="AB1190">
        <f>ROUND(([1]Source!BZ1344/100)*ROUND(([1]Source!AF1344*[1]Source!AV1344)*[1]Source!I1344, 2), 2)</f>
        <v>0</v>
      </c>
      <c r="AC1190">
        <f>[1]Source!X1344</f>
        <v>0</v>
      </c>
      <c r="AD1190">
        <f>ROUND(([1]Source!CA1344/100)*ROUND(([1]Source!AF1344*[1]Source!AV1344)*[1]Source!I1344, 2), 2)</f>
        <v>0</v>
      </c>
      <c r="AE1190">
        <f>[1]Source!Y1344</f>
        <v>0</v>
      </c>
      <c r="AF1190">
        <f>ROUND((175/100)*ROUND(([1]Source!AE1344*[1]Source!AV1344)*[1]Source!I1344, 2), 2)</f>
        <v>0</v>
      </c>
      <c r="AG1190">
        <f>ROUND((108/100)*ROUND([1]Source!CS1344*[1]Source!I1344, 2), 2)</f>
        <v>0</v>
      </c>
    </row>
    <row r="1191" spans="1:43" ht="14.25" x14ac:dyDescent="0.2">
      <c r="A1191" s="31"/>
      <c r="B1191" s="31"/>
      <c r="C1191" s="31" t="s">
        <v>33</v>
      </c>
      <c r="D1191" s="32"/>
      <c r="E1191" s="4"/>
      <c r="F1191" s="33">
        <f>[1]Source!AM1344</f>
        <v>0.65</v>
      </c>
      <c r="G1191" s="34" t="str">
        <f>[1]Source!DE1344</f>
        <v>*4*164</v>
      </c>
      <c r="H1191" s="4">
        <f>[1]Source!AV1344</f>
        <v>1</v>
      </c>
      <c r="I1191" s="4">
        <f>IF([1]Source!BB1344&lt;&gt; 0, [1]Source!BB1344, 1)</f>
        <v>1</v>
      </c>
      <c r="J1191" s="33">
        <f>[1]Source!Q1344</f>
        <v>1962416.46</v>
      </c>
      <c r="K1191" s="33"/>
      <c r="M1191"/>
      <c r="N1191"/>
      <c r="O1191"/>
      <c r="P1191"/>
      <c r="Q1191"/>
    </row>
    <row r="1192" spans="1:43" ht="15" x14ac:dyDescent="0.25">
      <c r="A1192" s="35"/>
      <c r="B1192" s="35"/>
      <c r="C1192" s="35"/>
      <c r="D1192" s="35"/>
      <c r="E1192" s="35"/>
      <c r="F1192" s="35"/>
      <c r="G1192" s="35"/>
      <c r="H1192" s="35"/>
      <c r="I1192" s="36">
        <f>J1191</f>
        <v>1962416.46</v>
      </c>
      <c r="J1192" s="36"/>
      <c r="K1192" s="37">
        <f>IF([1]Source!I1344&lt;&gt;0, ROUND(I1192/[1]Source!I1344, 2), 0)</f>
        <v>426.4</v>
      </c>
      <c r="M1192"/>
      <c r="N1192"/>
      <c r="O1192"/>
      <c r="P1192"/>
      <c r="Q1192"/>
      <c r="AA1192" s="38">
        <f>I1192</f>
        <v>1962416.46</v>
      </c>
    </row>
    <row r="1193" spans="1:43" ht="28.5" x14ac:dyDescent="0.2">
      <c r="A1193" s="31">
        <v>168</v>
      </c>
      <c r="B1193" s="31" t="str">
        <f>[1]Source!F1345</f>
        <v>калькуляция</v>
      </c>
      <c r="C1193" s="31" t="str">
        <f>[1]Source!G1345</f>
        <v>Подметание дорожек  вручную ( S=6574,7 м2*0,3=1972,41 м2)</v>
      </c>
      <c r="D1193" s="32" t="str">
        <f>[1]Source!H1345</f>
        <v>м2</v>
      </c>
      <c r="E1193" s="4">
        <f>[1]Source!I1345</f>
        <v>1972.41</v>
      </c>
      <c r="F1193" s="33"/>
      <c r="G1193" s="34"/>
      <c r="H1193" s="4"/>
      <c r="I1193" s="4"/>
      <c r="J1193" s="33"/>
      <c r="K1193" s="33"/>
      <c r="M1193"/>
      <c r="N1193"/>
      <c r="O1193"/>
      <c r="P1193"/>
      <c r="Q1193"/>
      <c r="AB1193">
        <f>ROUND(([1]Source!BZ1345/100)*ROUND(([1]Source!AF1345*[1]Source!AV1345)*[1]Source!I1345, 2), 2)</f>
        <v>0</v>
      </c>
      <c r="AC1193">
        <f>[1]Source!X1345</f>
        <v>0</v>
      </c>
      <c r="AD1193">
        <f>ROUND(([1]Source!CA1345/100)*ROUND(([1]Source!AF1345*[1]Source!AV1345)*[1]Source!I1345, 2), 2)</f>
        <v>0</v>
      </c>
      <c r="AE1193">
        <f>[1]Source!Y1345</f>
        <v>0</v>
      </c>
      <c r="AF1193">
        <f>ROUND((175/100)*ROUND(([1]Source!AE1345*[1]Source!AV1345)*[1]Source!I1345, 2), 2)</f>
        <v>0</v>
      </c>
      <c r="AG1193">
        <f>ROUND((108/100)*ROUND([1]Source!CS1345*[1]Source!I1345, 2), 2)</f>
        <v>0</v>
      </c>
    </row>
    <row r="1194" spans="1:43" ht="14.25" x14ac:dyDescent="0.2">
      <c r="A1194" s="31"/>
      <c r="B1194" s="31"/>
      <c r="C1194" s="31" t="s">
        <v>34</v>
      </c>
      <c r="D1194" s="32"/>
      <c r="E1194" s="4"/>
      <c r="F1194" s="33">
        <f>[1]Source!AO1345</f>
        <v>1.32</v>
      </c>
      <c r="G1194" s="34" t="str">
        <f>[1]Source!DG1345</f>
        <v>*4*164</v>
      </c>
      <c r="H1194" s="4">
        <f>[1]Source!AV1345</f>
        <v>1</v>
      </c>
      <c r="I1194" s="4">
        <f>IF([1]Source!BA1345&lt;&gt; 0, [1]Source!BA1345, 1)</f>
        <v>1</v>
      </c>
      <c r="J1194" s="33">
        <f>[1]Source!S1345</f>
        <v>1707949.27</v>
      </c>
      <c r="K1194" s="33"/>
      <c r="M1194"/>
      <c r="N1194"/>
      <c r="O1194"/>
      <c r="P1194"/>
      <c r="Q1194"/>
    </row>
    <row r="1195" spans="1:43" ht="15" x14ac:dyDescent="0.25">
      <c r="A1195" s="35"/>
      <c r="B1195" s="35"/>
      <c r="C1195" s="35"/>
      <c r="D1195" s="35"/>
      <c r="E1195" s="35"/>
      <c r="F1195" s="35"/>
      <c r="G1195" s="35"/>
      <c r="H1195" s="35"/>
      <c r="I1195" s="36">
        <f>J1194</f>
        <v>1707949.27</v>
      </c>
      <c r="J1195" s="36"/>
      <c r="K1195" s="37">
        <f>IF([1]Source!I1345&lt;&gt;0, ROUND(I1195/[1]Source!I1345, 2), 0)</f>
        <v>865.92</v>
      </c>
      <c r="M1195"/>
      <c r="N1195"/>
      <c r="O1195"/>
      <c r="P1195"/>
      <c r="Q1195"/>
      <c r="AA1195" s="38">
        <f>I1195</f>
        <v>1707949.27</v>
      </c>
    </row>
    <row r="1196" spans="1:43" ht="28.5" x14ac:dyDescent="0.2">
      <c r="A1196" s="31">
        <v>169</v>
      </c>
      <c r="B1196" s="31" t="str">
        <f>[1]Source!F1346</f>
        <v>калькуляция</v>
      </c>
      <c r="C1196" s="31" t="str">
        <f>[1]Source!G1346</f>
        <v>Мытье дорожек  механизированным способом( 30% от 6574,7 м2)</v>
      </c>
      <c r="D1196" s="32" t="str">
        <f>[1]Source!H1346</f>
        <v>м2</v>
      </c>
      <c r="E1196" s="4">
        <f>[1]Source!I1346</f>
        <v>1972.41</v>
      </c>
      <c r="F1196" s="33"/>
      <c r="G1196" s="34"/>
      <c r="H1196" s="4"/>
      <c r="I1196" s="4"/>
      <c r="J1196" s="33"/>
      <c r="K1196" s="33"/>
      <c r="M1196"/>
      <c r="N1196"/>
      <c r="O1196"/>
      <c r="P1196"/>
      <c r="Q1196"/>
      <c r="AB1196">
        <f>ROUND(([1]Source!BZ1346/100)*ROUND(([1]Source!AF1346*[1]Source!AV1346)*[1]Source!I1346, 2), 2)</f>
        <v>0</v>
      </c>
      <c r="AC1196">
        <f>[1]Source!X1346</f>
        <v>0</v>
      </c>
      <c r="AD1196">
        <f>ROUND(([1]Source!CA1346/100)*ROUND(([1]Source!AF1346*[1]Source!AV1346)*[1]Source!I1346, 2), 2)</f>
        <v>0</v>
      </c>
      <c r="AE1196">
        <f>[1]Source!Y1346</f>
        <v>0</v>
      </c>
      <c r="AF1196">
        <f>ROUND((175/100)*ROUND(([1]Source!AE1346*[1]Source!AV1346)*[1]Source!I1346, 2), 2)</f>
        <v>0</v>
      </c>
      <c r="AG1196">
        <f>ROUND((108/100)*ROUND([1]Source!CS1346*[1]Source!I1346, 2), 2)</f>
        <v>0</v>
      </c>
    </row>
    <row r="1197" spans="1:43" ht="14.25" x14ac:dyDescent="0.2">
      <c r="A1197" s="31"/>
      <c r="B1197" s="31"/>
      <c r="C1197" s="31" t="s">
        <v>33</v>
      </c>
      <c r="D1197" s="32"/>
      <c r="E1197" s="4"/>
      <c r="F1197" s="33">
        <f>[1]Source!AM1346</f>
        <v>3.28</v>
      </c>
      <c r="G1197" s="34" t="str">
        <f>[1]Source!DE1346</f>
        <v>)*1*164</v>
      </c>
      <c r="H1197" s="4">
        <f>[1]Source!AV1346</f>
        <v>1</v>
      </c>
      <c r="I1197" s="4">
        <f>IF([1]Source!BB1346&lt;&gt; 0, [1]Source!BB1346, 1)</f>
        <v>1</v>
      </c>
      <c r="J1197" s="33">
        <f>[1]Source!Q1346</f>
        <v>1060998.79</v>
      </c>
      <c r="K1197" s="33"/>
      <c r="M1197"/>
      <c r="N1197"/>
      <c r="O1197"/>
      <c r="P1197"/>
      <c r="Q1197"/>
    </row>
    <row r="1198" spans="1:43" ht="57" x14ac:dyDescent="0.2">
      <c r="A1198" s="31" t="s">
        <v>84</v>
      </c>
      <c r="B1198" s="31" t="str">
        <f>[1]Source!F1347</f>
        <v>цена поставщика</v>
      </c>
      <c r="C1198" s="31" t="str">
        <f>[1]Source!G1347</f>
        <v>Средство для механизированной мойки дорожных покрытий в зимнее время -ПГМ Жидкий хлористый кальций</v>
      </c>
      <c r="D1198" s="32" t="str">
        <f>[1]Source!H1347</f>
        <v>л</v>
      </c>
      <c r="E1198" s="4">
        <f>[1]Source!I1347</f>
        <v>97.042572000000007</v>
      </c>
      <c r="F1198" s="33">
        <f>[1]Source!AK1347</f>
        <v>11.77</v>
      </c>
      <c r="G1198" s="39" t="s">
        <v>36</v>
      </c>
      <c r="H1198" s="4">
        <f>[1]Source!AW1347</f>
        <v>1</v>
      </c>
      <c r="I1198" s="4">
        <f>IF([1]Source!BC1347&lt;&gt; 0, [1]Source!BC1347, 1)</f>
        <v>1</v>
      </c>
      <c r="J1198" s="33">
        <f>[1]Source!O1347</f>
        <v>1142.19</v>
      </c>
      <c r="K1198" s="33"/>
      <c r="M1198"/>
      <c r="N1198"/>
      <c r="O1198"/>
      <c r="P1198"/>
      <c r="Q1198"/>
      <c r="AB1198">
        <f>ROUND(([1]Source!BZ1347/100)*ROUND(([1]Source!AF1347*[1]Source!AV1347)*[1]Source!I1347, 2), 2)</f>
        <v>0</v>
      </c>
      <c r="AC1198">
        <f>[1]Source!X1347</f>
        <v>0</v>
      </c>
      <c r="AD1198">
        <f>ROUND(([1]Source!CA1347/100)*ROUND(([1]Source!AF1347*[1]Source!AV1347)*[1]Source!I1347, 2), 2)</f>
        <v>0</v>
      </c>
      <c r="AE1198">
        <f>[1]Source!Y1347</f>
        <v>0</v>
      </c>
      <c r="AF1198">
        <f>ROUND((175/100)*ROUND(([1]Source!AE1347*[1]Source!AV1347)*[1]Source!I1347, 2), 2)</f>
        <v>0</v>
      </c>
      <c r="AG1198">
        <f>ROUND((108/100)*ROUND([1]Source!CS1347*[1]Source!I1347, 2), 2)</f>
        <v>0</v>
      </c>
    </row>
    <row r="1199" spans="1:43" ht="15" x14ac:dyDescent="0.25">
      <c r="A1199" s="35"/>
      <c r="B1199" s="35"/>
      <c r="C1199" s="35"/>
      <c r="D1199" s="35"/>
      <c r="E1199" s="35"/>
      <c r="F1199" s="35"/>
      <c r="G1199" s="35"/>
      <c r="H1199" s="35"/>
      <c r="I1199" s="36">
        <f>J1197+SUM(J1198:J1198)</f>
        <v>1062140.98</v>
      </c>
      <c r="J1199" s="36"/>
      <c r="K1199" s="37">
        <f>IF([1]Source!I1346&lt;&gt;0, ROUND(I1199/[1]Source!I1346, 2), 0)</f>
        <v>538.5</v>
      </c>
      <c r="M1199"/>
      <c r="N1199"/>
      <c r="O1199"/>
      <c r="P1199"/>
      <c r="Q1199"/>
      <c r="AA1199" s="38">
        <f>I1199</f>
        <v>1062140.98</v>
      </c>
    </row>
    <row r="1200" spans="1:43" ht="42.75" x14ac:dyDescent="0.2">
      <c r="A1200" s="31">
        <v>170</v>
      </c>
      <c r="B1200" s="31" t="str">
        <f>[1]Source!F1348</f>
        <v>5.3-1102-12-1/1</v>
      </c>
      <c r="C1200" s="31" t="str">
        <f>[1]Source!G1348</f>
        <v>Уборка снега средствами малой механизации ( 6574,7м2 *0,7 = 4602,29 м2)</v>
      </c>
      <c r="D1200" s="32" t="str">
        <f>[1]Source!H1348</f>
        <v>1000 м2</v>
      </c>
      <c r="E1200" s="4">
        <f>[1]Source!I1348</f>
        <v>4.60229</v>
      </c>
      <c r="F1200" s="33"/>
      <c r="G1200" s="34"/>
      <c r="H1200" s="4"/>
      <c r="I1200" s="4"/>
      <c r="J1200" s="33"/>
      <c r="K1200" s="33"/>
      <c r="M1200"/>
      <c r="N1200"/>
      <c r="O1200"/>
      <c r="P1200"/>
      <c r="Q1200"/>
      <c r="AB1200">
        <f>ROUND(([1]Source!BZ1348/100)*ROUND(([1]Source!AF1348*[1]Source!AV1348)*[1]Source!I1348, 2), 2)</f>
        <v>0</v>
      </c>
      <c r="AC1200">
        <f>[1]Source!X1348</f>
        <v>0</v>
      </c>
      <c r="AD1200">
        <f>ROUND(([1]Source!CA1348/100)*ROUND(([1]Source!AF1348*[1]Source!AV1348)*[1]Source!I1348, 2), 2)</f>
        <v>0</v>
      </c>
      <c r="AE1200">
        <f>[1]Source!Y1348</f>
        <v>0</v>
      </c>
      <c r="AF1200">
        <f>ROUND((175/100)*ROUND(([1]Source!AE1348*[1]Source!AV1348)*[1]Source!I1348, 2), 2)</f>
        <v>1277192.9099999999</v>
      </c>
      <c r="AG1200">
        <f>ROUND((108/100)*ROUND([1]Source!CS1348*[1]Source!I1348, 2), 2)</f>
        <v>788210.48</v>
      </c>
    </row>
    <row r="1201" spans="1:33" x14ac:dyDescent="0.2">
      <c r="C1201" s="40" t="str">
        <f>"Объем: "&amp;[1]Source!I1348&amp;"=4602,29/"&amp;"1000"</f>
        <v>Объем: 4,60229=4602,29/1000</v>
      </c>
      <c r="M1201"/>
      <c r="N1201"/>
      <c r="O1201"/>
      <c r="P1201"/>
      <c r="Q1201"/>
    </row>
    <row r="1202" spans="1:33" ht="14.25" x14ac:dyDescent="0.2">
      <c r="A1202" s="31"/>
      <c r="B1202" s="31"/>
      <c r="C1202" s="31" t="s">
        <v>33</v>
      </c>
      <c r="D1202" s="32"/>
      <c r="E1202" s="4"/>
      <c r="F1202" s="33">
        <f>[1]Source!AM1348</f>
        <v>708.24</v>
      </c>
      <c r="G1202" s="34" t="str">
        <f>[1]Source!DE1348</f>
        <v>*4*168</v>
      </c>
      <c r="H1202" s="4">
        <f>[1]Source!AV1348</f>
        <v>1</v>
      </c>
      <c r="I1202" s="4">
        <f>IF([1]Source!BB1348&lt;&gt; 0, [1]Source!BB1348, 1)</f>
        <v>1</v>
      </c>
      <c r="J1202" s="33">
        <f>[1]Source!Q1348</f>
        <v>2190401.38</v>
      </c>
      <c r="K1202" s="33"/>
      <c r="M1202"/>
      <c r="N1202"/>
      <c r="O1202"/>
      <c r="P1202"/>
      <c r="Q1202"/>
    </row>
    <row r="1203" spans="1:33" ht="14.25" x14ac:dyDescent="0.2">
      <c r="A1203" s="31"/>
      <c r="B1203" s="31"/>
      <c r="C1203" s="31" t="s">
        <v>37</v>
      </c>
      <c r="D1203" s="32"/>
      <c r="E1203" s="4"/>
      <c r="F1203" s="33">
        <f>[1]Source!AN1348</f>
        <v>235.98</v>
      </c>
      <c r="G1203" s="34" t="str">
        <f>[1]Source!DF1348</f>
        <v>*4*168</v>
      </c>
      <c r="H1203" s="4">
        <f>[1]Source!AV1348</f>
        <v>1</v>
      </c>
      <c r="I1203" s="4">
        <f>IF([1]Source!BS1348&lt;&gt; 0, [1]Source!BS1348, 1)</f>
        <v>1</v>
      </c>
      <c r="J1203" s="41">
        <f>[1]Source!R1348</f>
        <v>729824.52</v>
      </c>
      <c r="K1203" s="33"/>
      <c r="M1203"/>
      <c r="N1203"/>
      <c r="O1203"/>
      <c r="P1203"/>
      <c r="Q1203"/>
    </row>
    <row r="1204" spans="1:33" ht="14.25" x14ac:dyDescent="0.2">
      <c r="A1204" s="31"/>
      <c r="B1204" s="31"/>
      <c r="C1204" s="31" t="s">
        <v>38</v>
      </c>
      <c r="D1204" s="32" t="s">
        <v>39</v>
      </c>
      <c r="E1204" s="4">
        <f>108</f>
        <v>108</v>
      </c>
      <c r="F1204" s="33"/>
      <c r="G1204" s="34"/>
      <c r="H1204" s="4"/>
      <c r="I1204" s="4"/>
      <c r="J1204" s="33">
        <f>SUM(AG1200:AG1203)</f>
        <v>788210.48</v>
      </c>
      <c r="K1204" s="33"/>
      <c r="M1204"/>
      <c r="N1204"/>
      <c r="O1204"/>
      <c r="P1204"/>
      <c r="Q1204"/>
    </row>
    <row r="1205" spans="1:33" ht="15" x14ac:dyDescent="0.25">
      <c r="A1205" s="35"/>
      <c r="B1205" s="35"/>
      <c r="C1205" s="35"/>
      <c r="D1205" s="35"/>
      <c r="E1205" s="35"/>
      <c r="F1205" s="35"/>
      <c r="G1205" s="35"/>
      <c r="H1205" s="35"/>
      <c r="I1205" s="36">
        <f>J1202+J1204</f>
        <v>2978611.86</v>
      </c>
      <c r="J1205" s="36"/>
      <c r="K1205" s="37">
        <f>IF([1]Source!I1348&lt;&gt;0, ROUND(I1205/[1]Source!I1348, 2), 0)</f>
        <v>647202.12</v>
      </c>
      <c r="M1205"/>
      <c r="N1205"/>
      <c r="O1205"/>
      <c r="P1205"/>
      <c r="Q1205"/>
      <c r="AA1205" s="38">
        <f>I1205</f>
        <v>2978611.86</v>
      </c>
    </row>
    <row r="1206" spans="1:33" ht="42.75" x14ac:dyDescent="0.2">
      <c r="A1206" s="31">
        <v>171</v>
      </c>
      <c r="B1206" s="31" t="str">
        <f>[1]Source!F1349</f>
        <v>5.3-1102-8-1/1</v>
      </c>
      <c r="C1206" s="31" t="str">
        <f>[1]Source!G1349</f>
        <v>Уборка свежевыпавшего снега вручную толщиной слоя до 10 см ( 6574,7 м2 * 0,1*0.7*0,5 = 230,11 м2 )</v>
      </c>
      <c r="D1206" s="32" t="str">
        <f>[1]Source!H1349</f>
        <v>100 м2</v>
      </c>
      <c r="E1206" s="4">
        <f>[1]Source!I1349</f>
        <v>2.3010999999999999</v>
      </c>
      <c r="F1206" s="33"/>
      <c r="G1206" s="34"/>
      <c r="H1206" s="4"/>
      <c r="I1206" s="4"/>
      <c r="J1206" s="33"/>
      <c r="K1206" s="33"/>
      <c r="M1206"/>
      <c r="N1206"/>
      <c r="O1206"/>
      <c r="P1206"/>
      <c r="Q1206"/>
      <c r="AB1206">
        <f>ROUND(([1]Source!BZ1349/100)*ROUND(([1]Source!AF1349*[1]Source!AV1349)*[1]Source!I1349, 2), 2)</f>
        <v>174434.79</v>
      </c>
      <c r="AC1206">
        <f>[1]Source!X1349</f>
        <v>174434.79</v>
      </c>
      <c r="AD1206">
        <f>ROUND(([1]Source!CA1349/100)*ROUND(([1]Source!AF1349*[1]Source!AV1349)*[1]Source!I1349, 2), 2)</f>
        <v>24919.26</v>
      </c>
      <c r="AE1206">
        <f>[1]Source!Y1349</f>
        <v>24919.26</v>
      </c>
      <c r="AF1206">
        <f>ROUND((175/100)*ROUND(([1]Source!AE1349*[1]Source!AV1349)*[1]Source!I1349, 2), 2)</f>
        <v>0</v>
      </c>
      <c r="AG1206">
        <f>ROUND((108/100)*ROUND([1]Source!CS1349*[1]Source!I1349, 2), 2)</f>
        <v>0</v>
      </c>
    </row>
    <row r="1207" spans="1:33" x14ac:dyDescent="0.2">
      <c r="C1207" s="40" t="str">
        <f>"Объем: "&amp;[1]Source!I1349&amp;"=230,11/"&amp;"100"</f>
        <v>Объем: 2,3011=230,11/100</v>
      </c>
      <c r="M1207"/>
      <c r="N1207"/>
      <c r="O1207"/>
      <c r="P1207"/>
      <c r="Q1207"/>
    </row>
    <row r="1208" spans="1:33" ht="14.25" x14ac:dyDescent="0.2">
      <c r="A1208" s="31"/>
      <c r="B1208" s="31"/>
      <c r="C1208" s="31" t="s">
        <v>34</v>
      </c>
      <c r="D1208" s="32"/>
      <c r="E1208" s="4"/>
      <c r="F1208" s="33">
        <f>[1]Source!AO1349</f>
        <v>161.15</v>
      </c>
      <c r="G1208" s="34" t="str">
        <f>[1]Source!DG1349</f>
        <v>*4*168</v>
      </c>
      <c r="H1208" s="4">
        <f>[1]Source!AV1349</f>
        <v>1</v>
      </c>
      <c r="I1208" s="4">
        <f>IF([1]Source!BA1349&lt;&gt; 0, [1]Source!BA1349, 1)</f>
        <v>1</v>
      </c>
      <c r="J1208" s="33">
        <f>[1]Source!S1349</f>
        <v>249192.56</v>
      </c>
      <c r="K1208" s="33"/>
      <c r="M1208"/>
      <c r="N1208"/>
      <c r="O1208"/>
      <c r="P1208"/>
      <c r="Q1208"/>
    </row>
    <row r="1209" spans="1:33" ht="14.25" x14ac:dyDescent="0.2">
      <c r="A1209" s="31"/>
      <c r="B1209" s="31"/>
      <c r="C1209" s="31" t="s">
        <v>40</v>
      </c>
      <c r="D1209" s="32" t="s">
        <v>39</v>
      </c>
      <c r="E1209" s="4">
        <f>[1]Source!AT1349</f>
        <v>70</v>
      </c>
      <c r="F1209" s="33"/>
      <c r="G1209" s="34"/>
      <c r="H1209" s="4"/>
      <c r="I1209" s="4"/>
      <c r="J1209" s="33">
        <f>SUM(AC1206:AC1208)</f>
        <v>174434.79</v>
      </c>
      <c r="K1209" s="33"/>
      <c r="M1209"/>
      <c r="N1209"/>
      <c r="O1209"/>
      <c r="P1209"/>
      <c r="Q1209"/>
    </row>
    <row r="1210" spans="1:33" ht="14.25" x14ac:dyDescent="0.2">
      <c r="A1210" s="31"/>
      <c r="B1210" s="31"/>
      <c r="C1210" s="31" t="s">
        <v>41</v>
      </c>
      <c r="D1210" s="32" t="s">
        <v>39</v>
      </c>
      <c r="E1210" s="4">
        <f>[1]Source!AU1349</f>
        <v>10</v>
      </c>
      <c r="F1210" s="33"/>
      <c r="G1210" s="34"/>
      <c r="H1210" s="4"/>
      <c r="I1210" s="4"/>
      <c r="J1210" s="33">
        <f>SUM(AE1206:AE1209)</f>
        <v>24919.26</v>
      </c>
      <c r="K1210" s="33"/>
      <c r="M1210"/>
      <c r="N1210"/>
      <c r="O1210"/>
      <c r="P1210"/>
      <c r="Q1210"/>
    </row>
    <row r="1211" spans="1:33" ht="14.25" x14ac:dyDescent="0.2">
      <c r="A1211" s="31"/>
      <c r="B1211" s="31"/>
      <c r="C1211" s="31" t="s">
        <v>42</v>
      </c>
      <c r="D1211" s="32" t="s">
        <v>43</v>
      </c>
      <c r="E1211" s="4">
        <f>[1]Source!AQ1349</f>
        <v>0.65</v>
      </c>
      <c r="F1211" s="33"/>
      <c r="G1211" s="34" t="str">
        <f>[1]Source!DI1349</f>
        <v>*4*168</v>
      </c>
      <c r="H1211" s="4">
        <f>[1]Source!AV1349</f>
        <v>1</v>
      </c>
      <c r="I1211" s="4"/>
      <c r="J1211" s="33"/>
      <c r="K1211" s="33">
        <f>[1]Source!U1349</f>
        <v>1005.12048</v>
      </c>
      <c r="M1211"/>
      <c r="N1211"/>
      <c r="O1211"/>
      <c r="P1211"/>
      <c r="Q1211"/>
    </row>
    <row r="1212" spans="1:33" ht="15" x14ac:dyDescent="0.25">
      <c r="A1212" s="35"/>
      <c r="B1212" s="35"/>
      <c r="C1212" s="35"/>
      <c r="D1212" s="35"/>
      <c r="E1212" s="35"/>
      <c r="F1212" s="35"/>
      <c r="G1212" s="35"/>
      <c r="H1212" s="35"/>
      <c r="I1212" s="36">
        <f>J1208+J1209+J1210</f>
        <v>448546.61</v>
      </c>
      <c r="J1212" s="36"/>
      <c r="K1212" s="37">
        <f>IF([1]Source!I1349&lt;&gt;0, ROUND(I1212/[1]Source!I1349, 2), 0)</f>
        <v>194927.04</v>
      </c>
      <c r="M1212"/>
      <c r="N1212"/>
      <c r="O1212"/>
      <c r="P1212"/>
      <c r="Q1212"/>
      <c r="AA1212" s="38">
        <f>I1212</f>
        <v>448546.61</v>
      </c>
    </row>
    <row r="1213" spans="1:33" ht="42.75" x14ac:dyDescent="0.2">
      <c r="A1213" s="31">
        <v>172</v>
      </c>
      <c r="B1213" s="31" t="str">
        <f>[1]Source!F1350</f>
        <v>5.3-1102-8-3/1</v>
      </c>
      <c r="C1213" s="31" t="str">
        <f>[1]Source!G1350</f>
        <v>Уборка слежавшегося снега вручную(S=6574,7 м2*0,1*0,7*0,5=230,11м2)</v>
      </c>
      <c r="D1213" s="32" t="str">
        <f>[1]Source!H1350</f>
        <v>100 м2</v>
      </c>
      <c r="E1213" s="4">
        <f>[1]Source!I1350</f>
        <v>2.3010999999999999</v>
      </c>
      <c r="F1213" s="33"/>
      <c r="G1213" s="34"/>
      <c r="H1213" s="4"/>
      <c r="I1213" s="4"/>
      <c r="J1213" s="33"/>
      <c r="K1213" s="33"/>
      <c r="M1213"/>
      <c r="N1213"/>
      <c r="O1213"/>
      <c r="P1213"/>
      <c r="Q1213"/>
      <c r="AB1213">
        <f>ROUND(([1]Source!BZ1350/100)*ROUND(([1]Source!AF1350*[1]Source!AV1350)*[1]Source!I1350, 2), 2)</f>
        <v>102650.25</v>
      </c>
      <c r="AC1213">
        <f>[1]Source!X1350</f>
        <v>102650.25</v>
      </c>
      <c r="AD1213">
        <f>ROUND(([1]Source!CA1350/100)*ROUND(([1]Source!AF1350*[1]Source!AV1350)*[1]Source!I1350, 2), 2)</f>
        <v>14664.32</v>
      </c>
      <c r="AE1213">
        <f>[1]Source!Y1350</f>
        <v>14664.32</v>
      </c>
      <c r="AF1213">
        <f>ROUND((175/100)*ROUND(([1]Source!AE1350*[1]Source!AV1350)*[1]Source!I1350, 2), 2)</f>
        <v>0</v>
      </c>
      <c r="AG1213">
        <f>ROUND((108/100)*ROUND([1]Source!CS1350*[1]Source!I1350, 2), 2)</f>
        <v>0</v>
      </c>
    </row>
    <row r="1214" spans="1:33" x14ac:dyDescent="0.2">
      <c r="C1214" s="40" t="str">
        <f>"Объем: "&amp;[1]Source!I1350&amp;"=230,11/"&amp;"100"</f>
        <v>Объем: 2,3011=230,11/100</v>
      </c>
      <c r="M1214"/>
      <c r="N1214"/>
      <c r="O1214"/>
      <c r="P1214"/>
      <c r="Q1214"/>
    </row>
    <row r="1215" spans="1:33" ht="14.25" x14ac:dyDescent="0.2">
      <c r="A1215" s="31"/>
      <c r="B1215" s="31"/>
      <c r="C1215" s="31" t="s">
        <v>34</v>
      </c>
      <c r="D1215" s="32"/>
      <c r="E1215" s="4"/>
      <c r="F1215" s="33">
        <f>[1]Source!AO1350</f>
        <v>379.33</v>
      </c>
      <c r="G1215" s="34" t="str">
        <f>[1]Source!DG1350</f>
        <v>)*1*168</v>
      </c>
      <c r="H1215" s="4">
        <f>[1]Source!AV1350</f>
        <v>1</v>
      </c>
      <c r="I1215" s="4">
        <f>IF([1]Source!BA1350&lt;&gt; 0, [1]Source!BA1350, 1)</f>
        <v>1</v>
      </c>
      <c r="J1215" s="33">
        <f>[1]Source!S1350</f>
        <v>146643.21</v>
      </c>
      <c r="K1215" s="33"/>
      <c r="M1215"/>
      <c r="N1215"/>
      <c r="O1215"/>
      <c r="P1215"/>
      <c r="Q1215"/>
    </row>
    <row r="1216" spans="1:33" ht="14.25" x14ac:dyDescent="0.2">
      <c r="A1216" s="31"/>
      <c r="B1216" s="31"/>
      <c r="C1216" s="31" t="s">
        <v>40</v>
      </c>
      <c r="D1216" s="32" t="s">
        <v>39</v>
      </c>
      <c r="E1216" s="4">
        <f>[1]Source!AT1350</f>
        <v>70</v>
      </c>
      <c r="F1216" s="33"/>
      <c r="G1216" s="34"/>
      <c r="H1216" s="4"/>
      <c r="I1216" s="4"/>
      <c r="J1216" s="33">
        <f>SUM(AC1213:AC1215)</f>
        <v>102650.25</v>
      </c>
      <c r="K1216" s="33"/>
      <c r="M1216"/>
      <c r="N1216"/>
      <c r="O1216"/>
      <c r="P1216"/>
      <c r="Q1216"/>
    </row>
    <row r="1217" spans="1:33" ht="14.25" x14ac:dyDescent="0.2">
      <c r="A1217" s="31"/>
      <c r="B1217" s="31"/>
      <c r="C1217" s="31" t="s">
        <v>41</v>
      </c>
      <c r="D1217" s="32" t="s">
        <v>39</v>
      </c>
      <c r="E1217" s="4">
        <f>[1]Source!AU1350</f>
        <v>10</v>
      </c>
      <c r="F1217" s="33"/>
      <c r="G1217" s="34"/>
      <c r="H1217" s="4"/>
      <c r="I1217" s="4"/>
      <c r="J1217" s="33">
        <f>SUM(AE1213:AE1216)</f>
        <v>14664.32</v>
      </c>
      <c r="K1217" s="33"/>
      <c r="M1217"/>
      <c r="N1217"/>
      <c r="O1217"/>
      <c r="P1217"/>
      <c r="Q1217"/>
    </row>
    <row r="1218" spans="1:33" ht="14.25" x14ac:dyDescent="0.2">
      <c r="A1218" s="31"/>
      <c r="B1218" s="31"/>
      <c r="C1218" s="31" t="s">
        <v>42</v>
      </c>
      <c r="D1218" s="32" t="s">
        <v>43</v>
      </c>
      <c r="E1218" s="4">
        <f>[1]Source!AQ1350</f>
        <v>1.53</v>
      </c>
      <c r="F1218" s="33"/>
      <c r="G1218" s="34" t="str">
        <f>[1]Source!DI1350</f>
        <v>)*1*168</v>
      </c>
      <c r="H1218" s="4">
        <f>[1]Source!AV1350</f>
        <v>1</v>
      </c>
      <c r="I1218" s="4"/>
      <c r="J1218" s="33"/>
      <c r="K1218" s="33">
        <f>[1]Source!U1350</f>
        <v>591.47474399999999</v>
      </c>
      <c r="M1218"/>
      <c r="N1218"/>
      <c r="O1218"/>
      <c r="P1218"/>
      <c r="Q1218"/>
    </row>
    <row r="1219" spans="1:33" ht="15" x14ac:dyDescent="0.25">
      <c r="A1219" s="35"/>
      <c r="B1219" s="35"/>
      <c r="C1219" s="35"/>
      <c r="D1219" s="35"/>
      <c r="E1219" s="35"/>
      <c r="F1219" s="35"/>
      <c r="G1219" s="35"/>
      <c r="H1219" s="35"/>
      <c r="I1219" s="36">
        <f>J1215+J1216+J1217</f>
        <v>263957.77999999997</v>
      </c>
      <c r="J1219" s="36"/>
      <c r="K1219" s="37">
        <f>IF([1]Source!I1350&lt;&gt;0, ROUND(I1219/[1]Source!I1350, 2), 0)</f>
        <v>114709.39</v>
      </c>
      <c r="M1219"/>
      <c r="N1219"/>
      <c r="O1219"/>
      <c r="P1219"/>
      <c r="Q1219"/>
      <c r="AA1219" s="38">
        <f>I1219</f>
        <v>263957.77999999997</v>
      </c>
    </row>
    <row r="1220" spans="1:33" ht="42.75" x14ac:dyDescent="0.2">
      <c r="A1220" s="31">
        <v>173</v>
      </c>
      <c r="B1220" s="31" t="str">
        <f>[1]Source!F1351</f>
        <v>5.3-1102-8-1/1</v>
      </c>
      <c r="C1220" s="31" t="str">
        <f>[1]Source!G1351</f>
        <v>Уборка свежевыпавшего снега вручную толщиной слоя до 10 см ( 6574,7 м2 * 0,1*0.3 *0,5= 98,62 м2 )</v>
      </c>
      <c r="D1220" s="32" t="str">
        <f>[1]Source!H1351</f>
        <v>100 м2</v>
      </c>
      <c r="E1220" s="4">
        <f>[1]Source!I1351</f>
        <v>0.98619999999999997</v>
      </c>
      <c r="F1220" s="33"/>
      <c r="G1220" s="34"/>
      <c r="H1220" s="4"/>
      <c r="I1220" s="4"/>
      <c r="J1220" s="33"/>
      <c r="K1220" s="33"/>
      <c r="M1220"/>
      <c r="N1220"/>
      <c r="O1220"/>
      <c r="P1220"/>
      <c r="Q1220"/>
      <c r="AB1220">
        <f>ROUND(([1]Source!BZ1351/100)*ROUND(([1]Source!AF1351*[1]Source!AV1351)*[1]Source!I1351, 2), 2)</f>
        <v>74758.850000000006</v>
      </c>
      <c r="AC1220">
        <f>[1]Source!X1351</f>
        <v>74758.850000000006</v>
      </c>
      <c r="AD1220">
        <f>ROUND(([1]Source!CA1351/100)*ROUND(([1]Source!AF1351*[1]Source!AV1351)*[1]Source!I1351, 2), 2)</f>
        <v>10679.84</v>
      </c>
      <c r="AE1220">
        <f>[1]Source!Y1351</f>
        <v>10679.84</v>
      </c>
      <c r="AF1220">
        <f>ROUND((175/100)*ROUND(([1]Source!AE1351*[1]Source!AV1351)*[1]Source!I1351, 2), 2)</f>
        <v>0</v>
      </c>
      <c r="AG1220">
        <f>ROUND((108/100)*ROUND([1]Source!CS1351*[1]Source!I1351, 2), 2)</f>
        <v>0</v>
      </c>
    </row>
    <row r="1221" spans="1:33" x14ac:dyDescent="0.2">
      <c r="C1221" s="40" t="str">
        <f>"Объем: "&amp;[1]Source!I1351&amp;"=98,62/"&amp;"100"</f>
        <v>Объем: 0,9862=98,62/100</v>
      </c>
      <c r="M1221"/>
      <c r="N1221"/>
      <c r="O1221"/>
      <c r="P1221"/>
      <c r="Q1221"/>
    </row>
    <row r="1222" spans="1:33" ht="14.25" x14ac:dyDescent="0.2">
      <c r="A1222" s="31"/>
      <c r="B1222" s="31"/>
      <c r="C1222" s="31" t="s">
        <v>34</v>
      </c>
      <c r="D1222" s="32"/>
      <c r="E1222" s="4"/>
      <c r="F1222" s="33">
        <f>[1]Source!AO1351</f>
        <v>161.15</v>
      </c>
      <c r="G1222" s="34" t="str">
        <f>[1]Source!DG1351</f>
        <v>*4*168</v>
      </c>
      <c r="H1222" s="4">
        <f>[1]Source!AV1351</f>
        <v>1</v>
      </c>
      <c r="I1222" s="4">
        <f>IF([1]Source!BA1351&lt;&gt; 0, [1]Source!BA1351, 1)</f>
        <v>1</v>
      </c>
      <c r="J1222" s="33">
        <f>[1]Source!S1351</f>
        <v>106798.36</v>
      </c>
      <c r="K1222" s="33"/>
      <c r="M1222"/>
      <c r="N1222"/>
      <c r="O1222"/>
      <c r="P1222"/>
      <c r="Q1222"/>
    </row>
    <row r="1223" spans="1:33" ht="14.25" x14ac:dyDescent="0.2">
      <c r="A1223" s="31"/>
      <c r="B1223" s="31"/>
      <c r="C1223" s="31" t="s">
        <v>40</v>
      </c>
      <c r="D1223" s="32" t="s">
        <v>39</v>
      </c>
      <c r="E1223" s="4">
        <f>[1]Source!AT1351</f>
        <v>70</v>
      </c>
      <c r="F1223" s="33"/>
      <c r="G1223" s="34"/>
      <c r="H1223" s="4"/>
      <c r="I1223" s="4"/>
      <c r="J1223" s="33">
        <f>SUM(AC1220:AC1222)</f>
        <v>74758.850000000006</v>
      </c>
      <c r="K1223" s="33"/>
      <c r="M1223"/>
      <c r="N1223"/>
      <c r="O1223"/>
      <c r="P1223"/>
      <c r="Q1223"/>
    </row>
    <row r="1224" spans="1:33" ht="14.25" x14ac:dyDescent="0.2">
      <c r="A1224" s="31"/>
      <c r="B1224" s="31"/>
      <c r="C1224" s="31" t="s">
        <v>41</v>
      </c>
      <c r="D1224" s="32" t="s">
        <v>39</v>
      </c>
      <c r="E1224" s="4">
        <f>[1]Source!AU1351</f>
        <v>10</v>
      </c>
      <c r="F1224" s="33"/>
      <c r="G1224" s="34"/>
      <c r="H1224" s="4"/>
      <c r="I1224" s="4"/>
      <c r="J1224" s="33">
        <f>SUM(AE1220:AE1223)</f>
        <v>10679.84</v>
      </c>
      <c r="K1224" s="33"/>
      <c r="M1224"/>
      <c r="N1224"/>
      <c r="O1224"/>
      <c r="P1224"/>
      <c r="Q1224"/>
    </row>
    <row r="1225" spans="1:33" ht="14.25" x14ac:dyDescent="0.2">
      <c r="A1225" s="31"/>
      <c r="B1225" s="31"/>
      <c r="C1225" s="31" t="s">
        <v>42</v>
      </c>
      <c r="D1225" s="32" t="s">
        <v>43</v>
      </c>
      <c r="E1225" s="4">
        <f>[1]Source!AQ1351</f>
        <v>0.65</v>
      </c>
      <c r="F1225" s="33"/>
      <c r="G1225" s="34" t="str">
        <f>[1]Source!DI1351</f>
        <v>*4*168</v>
      </c>
      <c r="H1225" s="4">
        <f>[1]Source!AV1351</f>
        <v>1</v>
      </c>
      <c r="I1225" s="4"/>
      <c r="J1225" s="33"/>
      <c r="K1225" s="33">
        <f>[1]Source!U1351</f>
        <v>430.77215999999999</v>
      </c>
      <c r="M1225"/>
      <c r="N1225"/>
      <c r="O1225"/>
      <c r="P1225"/>
      <c r="Q1225"/>
    </row>
    <row r="1226" spans="1:33" ht="15" x14ac:dyDescent="0.25">
      <c r="A1226" s="35"/>
      <c r="B1226" s="35"/>
      <c r="C1226" s="35"/>
      <c r="D1226" s="35"/>
      <c r="E1226" s="35"/>
      <c r="F1226" s="35"/>
      <c r="G1226" s="35"/>
      <c r="H1226" s="35"/>
      <c r="I1226" s="36">
        <f>J1222+J1223+J1224</f>
        <v>192237.05000000002</v>
      </c>
      <c r="J1226" s="36"/>
      <c r="K1226" s="37">
        <f>IF([1]Source!I1351&lt;&gt;0, ROUND(I1226/[1]Source!I1351, 2), 0)</f>
        <v>194927.04</v>
      </c>
      <c r="M1226"/>
      <c r="N1226"/>
      <c r="O1226"/>
      <c r="P1226"/>
      <c r="Q1226"/>
      <c r="AA1226" s="38">
        <f>I1226</f>
        <v>192237.05000000002</v>
      </c>
    </row>
    <row r="1227" spans="1:33" ht="57" x14ac:dyDescent="0.2">
      <c r="A1227" s="31">
        <v>174</v>
      </c>
      <c r="B1227" s="31" t="str">
        <f>[1]Source!F1352</f>
        <v>5.3-1102-8-2/1</v>
      </c>
      <c r="C1227" s="31" t="str">
        <f>[1]Source!G1352</f>
        <v>Уборка свежевыпавшего снега вручную, добавлять на каждые следующие 10 см увеличения толщины слоя</v>
      </c>
      <c r="D1227" s="32" t="str">
        <f>[1]Source!H1352</f>
        <v>100 м2</v>
      </c>
      <c r="E1227" s="4">
        <f>[1]Source!I1352</f>
        <v>0.98619999999999997</v>
      </c>
      <c r="F1227" s="33"/>
      <c r="G1227" s="34"/>
      <c r="H1227" s="4"/>
      <c r="I1227" s="4"/>
      <c r="J1227" s="33"/>
      <c r="K1227" s="33"/>
      <c r="M1227"/>
      <c r="N1227"/>
      <c r="O1227"/>
      <c r="P1227"/>
      <c r="Q1227"/>
      <c r="AB1227">
        <f>ROUND(([1]Source!BZ1352/100)*ROUND(([1]Source!AF1352*[1]Source!AV1352)*[1]Source!I1352, 2), 2)</f>
        <v>54059.26</v>
      </c>
      <c r="AC1227">
        <f>[1]Source!X1352</f>
        <v>54059.26</v>
      </c>
      <c r="AD1227">
        <f>ROUND(([1]Source!CA1352/100)*ROUND(([1]Source!AF1352*[1]Source!AV1352)*[1]Source!I1352, 2), 2)</f>
        <v>7722.75</v>
      </c>
      <c r="AE1227">
        <f>[1]Source!Y1352</f>
        <v>7722.75</v>
      </c>
      <c r="AF1227">
        <f>ROUND((175/100)*ROUND(([1]Source!AE1352*[1]Source!AV1352)*[1]Source!I1352, 2), 2)</f>
        <v>0</v>
      </c>
      <c r="AG1227">
        <f>ROUND((108/100)*ROUND([1]Source!CS1352*[1]Source!I1352, 2), 2)</f>
        <v>0</v>
      </c>
    </row>
    <row r="1228" spans="1:33" x14ac:dyDescent="0.2">
      <c r="C1228" s="40" t="str">
        <f>"Объем: "&amp;[1]Source!I1352&amp;"=98,62/"&amp;"100"</f>
        <v>Объем: 0,9862=98,62/100</v>
      </c>
      <c r="M1228"/>
      <c r="N1228"/>
      <c r="O1228"/>
      <c r="P1228"/>
      <c r="Q1228"/>
    </row>
    <row r="1229" spans="1:33" ht="14.25" x14ac:dyDescent="0.2">
      <c r="A1229" s="31"/>
      <c r="B1229" s="31"/>
      <c r="C1229" s="31" t="s">
        <v>34</v>
      </c>
      <c r="D1229" s="32"/>
      <c r="E1229" s="4"/>
      <c r="F1229" s="33">
        <f>[1]Source!AO1352</f>
        <v>116.53</v>
      </c>
      <c r="G1229" s="34" t="str">
        <f>[1]Source!DG1352</f>
        <v>*4*168</v>
      </c>
      <c r="H1229" s="4">
        <f>[1]Source!AV1352</f>
        <v>1</v>
      </c>
      <c r="I1229" s="4">
        <f>IF([1]Source!BA1352&lt;&gt; 0, [1]Source!BA1352, 1)</f>
        <v>1</v>
      </c>
      <c r="J1229" s="33">
        <f>[1]Source!S1352</f>
        <v>77227.509999999995</v>
      </c>
      <c r="K1229" s="33"/>
      <c r="M1229"/>
      <c r="N1229"/>
      <c r="O1229"/>
      <c r="P1229"/>
      <c r="Q1229"/>
    </row>
    <row r="1230" spans="1:33" ht="14.25" x14ac:dyDescent="0.2">
      <c r="A1230" s="31"/>
      <c r="B1230" s="31"/>
      <c r="C1230" s="31" t="s">
        <v>40</v>
      </c>
      <c r="D1230" s="32" t="s">
        <v>39</v>
      </c>
      <c r="E1230" s="4">
        <f>[1]Source!AT1352</f>
        <v>70</v>
      </c>
      <c r="F1230" s="33"/>
      <c r="G1230" s="34"/>
      <c r="H1230" s="4"/>
      <c r="I1230" s="4"/>
      <c r="J1230" s="33">
        <f>SUM(AC1227:AC1229)</f>
        <v>54059.26</v>
      </c>
      <c r="K1230" s="33"/>
      <c r="M1230"/>
      <c r="N1230"/>
      <c r="O1230"/>
      <c r="P1230"/>
      <c r="Q1230"/>
    </row>
    <row r="1231" spans="1:33" ht="14.25" x14ac:dyDescent="0.2">
      <c r="A1231" s="31"/>
      <c r="B1231" s="31"/>
      <c r="C1231" s="31" t="s">
        <v>41</v>
      </c>
      <c r="D1231" s="32" t="s">
        <v>39</v>
      </c>
      <c r="E1231" s="4">
        <f>[1]Source!AU1352</f>
        <v>10</v>
      </c>
      <c r="F1231" s="33"/>
      <c r="G1231" s="34"/>
      <c r="H1231" s="4"/>
      <c r="I1231" s="4"/>
      <c r="J1231" s="33">
        <f>SUM(AE1227:AE1230)</f>
        <v>7722.75</v>
      </c>
      <c r="K1231" s="33"/>
      <c r="M1231"/>
      <c r="N1231"/>
      <c r="O1231"/>
      <c r="P1231"/>
      <c r="Q1231"/>
    </row>
    <row r="1232" spans="1:33" ht="14.25" x14ac:dyDescent="0.2">
      <c r="A1232" s="31"/>
      <c r="B1232" s="31"/>
      <c r="C1232" s="31" t="s">
        <v>42</v>
      </c>
      <c r="D1232" s="32" t="s">
        <v>43</v>
      </c>
      <c r="E1232" s="4">
        <f>[1]Source!AQ1352</f>
        <v>0.47</v>
      </c>
      <c r="F1232" s="33"/>
      <c r="G1232" s="34" t="str">
        <f>[1]Source!DI1352</f>
        <v>*4*168</v>
      </c>
      <c r="H1232" s="4">
        <f>[1]Source!AV1352</f>
        <v>1</v>
      </c>
      <c r="I1232" s="4"/>
      <c r="J1232" s="33"/>
      <c r="K1232" s="33">
        <f>[1]Source!U1352</f>
        <v>311.48140799999999</v>
      </c>
      <c r="M1232"/>
      <c r="N1232"/>
      <c r="O1232"/>
      <c r="P1232"/>
      <c r="Q1232"/>
    </row>
    <row r="1233" spans="1:33" ht="15" x14ac:dyDescent="0.25">
      <c r="A1233" s="35"/>
      <c r="B1233" s="35"/>
      <c r="C1233" s="35"/>
      <c r="D1233" s="35"/>
      <c r="E1233" s="35"/>
      <c r="F1233" s="35"/>
      <c r="G1233" s="35"/>
      <c r="H1233" s="35"/>
      <c r="I1233" s="36">
        <f>J1229+J1230+J1231</f>
        <v>139009.51999999999</v>
      </c>
      <c r="J1233" s="36"/>
      <c r="K1233" s="37">
        <f>IF([1]Source!I1352&lt;&gt;0, ROUND(I1233/[1]Source!I1352, 2), 0)</f>
        <v>140954.69</v>
      </c>
      <c r="M1233"/>
      <c r="N1233"/>
      <c r="O1233"/>
      <c r="P1233"/>
      <c r="Q1233"/>
      <c r="AA1233" s="38">
        <f>I1233</f>
        <v>139009.51999999999</v>
      </c>
    </row>
    <row r="1234" spans="1:33" ht="57" x14ac:dyDescent="0.2">
      <c r="A1234" s="31">
        <v>175</v>
      </c>
      <c r="B1234" s="31" t="str">
        <f>[1]Source!F1353</f>
        <v>5.3-1102-24-1/1</v>
      </c>
      <c r="C1234" s="31" t="str">
        <f>[1]Source!G1353</f>
        <v>Уборка свежевыпавшего снега ручной самоходной машиной - ширина захвата 120 см ( S=6574,7 м2*0,2=1314,94 м2)</v>
      </c>
      <c r="D1234" s="32" t="str">
        <f>[1]Source!H1353</f>
        <v>100 м2</v>
      </c>
      <c r="E1234" s="4">
        <f>[1]Source!I1353</f>
        <v>13.1494</v>
      </c>
      <c r="F1234" s="33"/>
      <c r="G1234" s="34"/>
      <c r="H1234" s="4"/>
      <c r="I1234" s="4"/>
      <c r="J1234" s="33"/>
      <c r="K1234" s="33"/>
      <c r="M1234"/>
      <c r="N1234"/>
      <c r="O1234"/>
      <c r="P1234"/>
      <c r="Q1234"/>
      <c r="AB1234">
        <f>ROUND(([1]Source!BZ1353/100)*ROUND(([1]Source!AF1353*[1]Source!AV1353)*[1]Source!I1353, 2), 2)</f>
        <v>600362.47</v>
      </c>
      <c r="AC1234">
        <f>[1]Source!X1353</f>
        <v>600362.47</v>
      </c>
      <c r="AD1234">
        <f>ROUND(([1]Source!CA1353/100)*ROUND(([1]Source!AF1353*[1]Source!AV1353)*[1]Source!I1353, 2), 2)</f>
        <v>85766.07</v>
      </c>
      <c r="AE1234">
        <f>[1]Source!Y1353</f>
        <v>85766.07</v>
      </c>
      <c r="AF1234">
        <f>ROUND((175/100)*ROUND(([1]Source!AE1353*[1]Source!AV1353)*[1]Source!I1353, 2), 2)</f>
        <v>1391.74</v>
      </c>
      <c r="AG1234">
        <f>ROUND((108/100)*ROUND([1]Source!CS1353*[1]Source!I1353, 2), 2)</f>
        <v>858.9</v>
      </c>
    </row>
    <row r="1235" spans="1:33" x14ac:dyDescent="0.2">
      <c r="C1235" s="40" t="str">
        <f>"Объем: "&amp;[1]Source!I1353&amp;"=1314,94/"&amp;"100"</f>
        <v>Объем: 13,1494=1314,94/100</v>
      </c>
      <c r="M1235"/>
      <c r="N1235"/>
      <c r="O1235"/>
      <c r="P1235"/>
      <c r="Q1235"/>
    </row>
    <row r="1236" spans="1:33" ht="14.25" x14ac:dyDescent="0.2">
      <c r="A1236" s="31"/>
      <c r="B1236" s="31"/>
      <c r="C1236" s="31" t="s">
        <v>34</v>
      </c>
      <c r="D1236" s="32"/>
      <c r="E1236" s="4"/>
      <c r="F1236" s="33">
        <f>[1]Source!AO1353</f>
        <v>97.06</v>
      </c>
      <c r="G1236" s="34" t="str">
        <f>[1]Source!DG1353</f>
        <v>*4*168</v>
      </c>
      <c r="H1236" s="4">
        <f>[1]Source!AV1353</f>
        <v>1</v>
      </c>
      <c r="I1236" s="4">
        <f>IF([1]Source!BA1353&lt;&gt; 0, [1]Source!BA1353, 1)</f>
        <v>1</v>
      </c>
      <c r="J1236" s="33">
        <f>[1]Source!S1353</f>
        <v>857660.67</v>
      </c>
      <c r="K1236" s="33"/>
      <c r="M1236"/>
      <c r="N1236"/>
      <c r="O1236"/>
      <c r="P1236"/>
      <c r="Q1236"/>
    </row>
    <row r="1237" spans="1:33" ht="14.25" x14ac:dyDescent="0.2">
      <c r="A1237" s="31"/>
      <c r="B1237" s="31"/>
      <c r="C1237" s="31" t="s">
        <v>33</v>
      </c>
      <c r="D1237" s="32"/>
      <c r="E1237" s="4"/>
      <c r="F1237" s="33">
        <f>[1]Source!AM1353</f>
        <v>33.97</v>
      </c>
      <c r="G1237" s="34" t="str">
        <f>[1]Source!DE1353</f>
        <v>*4*168</v>
      </c>
      <c r="H1237" s="4">
        <f>[1]Source!AV1353</f>
        <v>1</v>
      </c>
      <c r="I1237" s="4">
        <f>IF([1]Source!BB1353&lt;&gt; 0, [1]Source!BB1353, 1)</f>
        <v>1</v>
      </c>
      <c r="J1237" s="33">
        <f>[1]Source!Q1353</f>
        <v>300172.40000000002</v>
      </c>
      <c r="K1237" s="33"/>
      <c r="M1237"/>
      <c r="N1237"/>
      <c r="O1237"/>
      <c r="P1237"/>
      <c r="Q1237"/>
    </row>
    <row r="1238" spans="1:33" ht="14.25" x14ac:dyDescent="0.2">
      <c r="A1238" s="31"/>
      <c r="B1238" s="31"/>
      <c r="C1238" s="31" t="s">
        <v>37</v>
      </c>
      <c r="D1238" s="32"/>
      <c r="E1238" s="4"/>
      <c r="F1238" s="33">
        <f>[1]Source!AN1353</f>
        <v>0.09</v>
      </c>
      <c r="G1238" s="34" t="str">
        <f>[1]Source!DF1353</f>
        <v>*4*168</v>
      </c>
      <c r="H1238" s="4">
        <f>[1]Source!AV1353</f>
        <v>1</v>
      </c>
      <c r="I1238" s="4">
        <f>IF([1]Source!BS1353&lt;&gt; 0, [1]Source!BS1353, 1)</f>
        <v>1</v>
      </c>
      <c r="J1238" s="41">
        <f>[1]Source!R1353</f>
        <v>795.28</v>
      </c>
      <c r="K1238" s="33"/>
      <c r="M1238"/>
      <c r="N1238"/>
      <c r="O1238"/>
      <c r="P1238"/>
      <c r="Q1238"/>
    </row>
    <row r="1239" spans="1:33" ht="14.25" x14ac:dyDescent="0.2">
      <c r="A1239" s="31"/>
      <c r="B1239" s="31"/>
      <c r="C1239" s="31" t="s">
        <v>40</v>
      </c>
      <c r="D1239" s="32" t="s">
        <v>39</v>
      </c>
      <c r="E1239" s="4">
        <f>[1]Source!AT1353</f>
        <v>70</v>
      </c>
      <c r="F1239" s="33"/>
      <c r="G1239" s="34"/>
      <c r="H1239" s="4"/>
      <c r="I1239" s="4"/>
      <c r="J1239" s="33">
        <f>SUM(AC1234:AC1238)</f>
        <v>600362.47</v>
      </c>
      <c r="K1239" s="33"/>
      <c r="M1239"/>
      <c r="N1239"/>
      <c r="O1239"/>
      <c r="P1239"/>
      <c r="Q1239"/>
    </row>
    <row r="1240" spans="1:33" ht="14.25" x14ac:dyDescent="0.2">
      <c r="A1240" s="31"/>
      <c r="B1240" s="31"/>
      <c r="C1240" s="31" t="s">
        <v>41</v>
      </c>
      <c r="D1240" s="32" t="s">
        <v>39</v>
      </c>
      <c r="E1240" s="4">
        <f>[1]Source!AU1353</f>
        <v>10</v>
      </c>
      <c r="F1240" s="33"/>
      <c r="G1240" s="34"/>
      <c r="H1240" s="4"/>
      <c r="I1240" s="4"/>
      <c r="J1240" s="33">
        <f>SUM(AE1234:AE1239)</f>
        <v>85766.07</v>
      </c>
      <c r="K1240" s="33"/>
      <c r="M1240"/>
      <c r="N1240"/>
      <c r="O1240"/>
      <c r="P1240"/>
      <c r="Q1240"/>
    </row>
    <row r="1241" spans="1:33" ht="14.25" x14ac:dyDescent="0.2">
      <c r="A1241" s="31"/>
      <c r="B1241" s="31"/>
      <c r="C1241" s="31" t="s">
        <v>38</v>
      </c>
      <c r="D1241" s="32" t="s">
        <v>39</v>
      </c>
      <c r="E1241" s="4">
        <f>108</f>
        <v>108</v>
      </c>
      <c r="F1241" s="33"/>
      <c r="G1241" s="34"/>
      <c r="H1241" s="4"/>
      <c r="I1241" s="4"/>
      <c r="J1241" s="33">
        <f>SUM(AG1234:AG1240)</f>
        <v>858.9</v>
      </c>
      <c r="K1241" s="33"/>
      <c r="M1241"/>
      <c r="N1241"/>
      <c r="O1241"/>
      <c r="P1241"/>
      <c r="Q1241"/>
    </row>
    <row r="1242" spans="1:33" ht="14.25" x14ac:dyDescent="0.2">
      <c r="A1242" s="31"/>
      <c r="B1242" s="31"/>
      <c r="C1242" s="31" t="s">
        <v>42</v>
      </c>
      <c r="D1242" s="32" t="s">
        <v>43</v>
      </c>
      <c r="E1242" s="4">
        <f>[1]Source!AQ1353</f>
        <v>0.35</v>
      </c>
      <c r="F1242" s="33"/>
      <c r="G1242" s="34" t="str">
        <f>[1]Source!DI1353</f>
        <v>*4*168</v>
      </c>
      <c r="H1242" s="4">
        <f>[1]Source!AV1353</f>
        <v>1</v>
      </c>
      <c r="I1242" s="4"/>
      <c r="J1242" s="33"/>
      <c r="K1242" s="33">
        <f>[1]Source!U1353</f>
        <v>3092.7388799999999</v>
      </c>
      <c r="M1242"/>
      <c r="N1242"/>
      <c r="O1242"/>
      <c r="P1242"/>
      <c r="Q1242"/>
    </row>
    <row r="1243" spans="1:33" ht="15" x14ac:dyDescent="0.25">
      <c r="A1243" s="35"/>
      <c r="B1243" s="35"/>
      <c r="C1243" s="35"/>
      <c r="D1243" s="35"/>
      <c r="E1243" s="35"/>
      <c r="F1243" s="35"/>
      <c r="G1243" s="35"/>
      <c r="H1243" s="35"/>
      <c r="I1243" s="36">
        <f>J1236+J1237+J1239+J1240+J1241</f>
        <v>1844820.51</v>
      </c>
      <c r="J1243" s="36"/>
      <c r="K1243" s="37">
        <f>IF([1]Source!I1353&lt;&gt;0, ROUND(I1243/[1]Source!I1353, 2), 0)</f>
        <v>140296.93</v>
      </c>
      <c r="M1243"/>
      <c r="N1243"/>
      <c r="O1243"/>
      <c r="P1243"/>
      <c r="Q1243"/>
      <c r="AA1243" s="38">
        <f>I1243</f>
        <v>1844820.51</v>
      </c>
    </row>
    <row r="1244" spans="1:33" ht="42.75" x14ac:dyDescent="0.2">
      <c r="A1244" s="31">
        <v>176</v>
      </c>
      <c r="B1244" s="31" t="str">
        <f>[1]Source!F1354</f>
        <v>5.3-1102-9-1/1</v>
      </c>
      <c r="C1244" s="31" t="str">
        <f>[1]Source!G1354</f>
        <v>Колка льда на обледеневших покрытиях вручную ( S=6574,7 м2*0,1*0,3*0,5= 98,62 м2)</v>
      </c>
      <c r="D1244" s="32" t="str">
        <f>[1]Source!H1354</f>
        <v>100 м2</v>
      </c>
      <c r="E1244" s="4">
        <f>[1]Source!I1354</f>
        <v>0.98619999999999997</v>
      </c>
      <c r="F1244" s="33"/>
      <c r="G1244" s="34"/>
      <c r="H1244" s="4"/>
      <c r="I1244" s="4"/>
      <c r="J1244" s="33"/>
      <c r="K1244" s="33"/>
      <c r="M1244"/>
      <c r="N1244"/>
      <c r="O1244"/>
      <c r="P1244"/>
      <c r="Q1244"/>
      <c r="AB1244">
        <f>ROUND(([1]Source!BZ1354/100)*ROUND(([1]Source!AF1354*[1]Source!AV1354)*[1]Source!I1354, 2), 2)</f>
        <v>138594.98000000001</v>
      </c>
      <c r="AC1244">
        <f>[1]Source!X1354</f>
        <v>138594.98000000001</v>
      </c>
      <c r="AD1244">
        <f>ROUND(([1]Source!CA1354/100)*ROUND(([1]Source!AF1354*[1]Source!AV1354)*[1]Source!I1354, 2), 2)</f>
        <v>19799.28</v>
      </c>
      <c r="AE1244">
        <f>[1]Source!Y1354</f>
        <v>19799.28</v>
      </c>
      <c r="AF1244">
        <f>ROUND((175/100)*ROUND(([1]Source!AE1354*[1]Source!AV1354)*[1]Source!I1354, 2), 2)</f>
        <v>0</v>
      </c>
      <c r="AG1244">
        <f>ROUND((108/100)*ROUND([1]Source!CS1354*[1]Source!I1354, 2), 2)</f>
        <v>0</v>
      </c>
    </row>
    <row r="1245" spans="1:33" x14ac:dyDescent="0.2">
      <c r="C1245" s="40" t="str">
        <f>"Объем: "&amp;[1]Source!I1354&amp;"=98,62/"&amp;"100"</f>
        <v>Объем: 0,9862=98,62/100</v>
      </c>
      <c r="M1245"/>
      <c r="N1245"/>
      <c r="O1245"/>
      <c r="P1245"/>
      <c r="Q1245"/>
    </row>
    <row r="1246" spans="1:33" ht="14.25" x14ac:dyDescent="0.2">
      <c r="A1246" s="31"/>
      <c r="B1246" s="31"/>
      <c r="C1246" s="31" t="s">
        <v>34</v>
      </c>
      <c r="D1246" s="32"/>
      <c r="E1246" s="4"/>
      <c r="F1246" s="33">
        <f>[1]Source!AO1354</f>
        <v>597.51</v>
      </c>
      <c r="G1246" s="34" t="str">
        <f>[1]Source!DG1354</f>
        <v>)*2*168</v>
      </c>
      <c r="H1246" s="4">
        <f>[1]Source!AV1354</f>
        <v>1</v>
      </c>
      <c r="I1246" s="4">
        <f>IF([1]Source!BA1354&lt;&gt; 0, [1]Source!BA1354, 1)</f>
        <v>1</v>
      </c>
      <c r="J1246" s="33">
        <f>[1]Source!S1354</f>
        <v>197992.83</v>
      </c>
      <c r="K1246" s="33"/>
      <c r="M1246"/>
      <c r="N1246"/>
      <c r="O1246"/>
      <c r="P1246"/>
      <c r="Q1246"/>
    </row>
    <row r="1247" spans="1:33" ht="14.25" x14ac:dyDescent="0.2">
      <c r="A1247" s="31"/>
      <c r="B1247" s="31"/>
      <c r="C1247" s="31" t="s">
        <v>40</v>
      </c>
      <c r="D1247" s="32" t="s">
        <v>39</v>
      </c>
      <c r="E1247" s="4">
        <f>[1]Source!AT1354</f>
        <v>70</v>
      </c>
      <c r="F1247" s="33"/>
      <c r="G1247" s="34"/>
      <c r="H1247" s="4"/>
      <c r="I1247" s="4"/>
      <c r="J1247" s="33">
        <f>SUM(AC1244:AC1246)</f>
        <v>138594.98000000001</v>
      </c>
      <c r="K1247" s="33"/>
      <c r="M1247"/>
      <c r="N1247"/>
      <c r="O1247"/>
      <c r="P1247"/>
      <c r="Q1247"/>
    </row>
    <row r="1248" spans="1:33" ht="14.25" x14ac:dyDescent="0.2">
      <c r="A1248" s="31"/>
      <c r="B1248" s="31"/>
      <c r="C1248" s="31" t="s">
        <v>41</v>
      </c>
      <c r="D1248" s="32" t="s">
        <v>39</v>
      </c>
      <c r="E1248" s="4">
        <f>[1]Source!AU1354</f>
        <v>10</v>
      </c>
      <c r="F1248" s="33"/>
      <c r="G1248" s="34"/>
      <c r="H1248" s="4"/>
      <c r="I1248" s="4"/>
      <c r="J1248" s="33">
        <f>SUM(AE1244:AE1247)</f>
        <v>19799.28</v>
      </c>
      <c r="K1248" s="33"/>
      <c r="M1248"/>
      <c r="N1248"/>
      <c r="O1248"/>
      <c r="P1248"/>
      <c r="Q1248"/>
    </row>
    <row r="1249" spans="1:33" ht="14.25" x14ac:dyDescent="0.2">
      <c r="A1249" s="31"/>
      <c r="B1249" s="31"/>
      <c r="C1249" s="31" t="s">
        <v>42</v>
      </c>
      <c r="D1249" s="32" t="s">
        <v>43</v>
      </c>
      <c r="E1249" s="4">
        <f>[1]Source!AQ1354</f>
        <v>2.41</v>
      </c>
      <c r="F1249" s="33"/>
      <c r="G1249" s="34" t="str">
        <f>[1]Source!DI1354</f>
        <v>)*2*168</v>
      </c>
      <c r="H1249" s="4">
        <f>[1]Source!AV1354</f>
        <v>1</v>
      </c>
      <c r="I1249" s="4"/>
      <c r="J1249" s="33"/>
      <c r="K1249" s="33">
        <f>[1]Source!U1354</f>
        <v>798.58531199999993</v>
      </c>
      <c r="M1249"/>
      <c r="N1249"/>
      <c r="O1249"/>
      <c r="P1249"/>
      <c r="Q1249"/>
    </row>
    <row r="1250" spans="1:33" ht="15" x14ac:dyDescent="0.25">
      <c r="A1250" s="35"/>
      <c r="B1250" s="35"/>
      <c r="C1250" s="35"/>
      <c r="D1250" s="35"/>
      <c r="E1250" s="35"/>
      <c r="F1250" s="35"/>
      <c r="G1250" s="35"/>
      <c r="H1250" s="35"/>
      <c r="I1250" s="36">
        <f>J1246+J1247+J1248</f>
        <v>356387.08999999997</v>
      </c>
      <c r="J1250" s="36"/>
      <c r="K1250" s="37">
        <f>IF([1]Source!I1354&lt;&gt;0, ROUND(I1250/[1]Source!I1354, 2), 0)</f>
        <v>361374.05</v>
      </c>
      <c r="M1250"/>
      <c r="N1250"/>
      <c r="O1250"/>
      <c r="P1250"/>
      <c r="Q1250"/>
      <c r="AA1250" s="38">
        <f>I1250</f>
        <v>356387.08999999997</v>
      </c>
    </row>
    <row r="1251" spans="1:33" ht="57" x14ac:dyDescent="0.2">
      <c r="A1251" s="31">
        <v>177</v>
      </c>
      <c r="B1251" s="31" t="str">
        <f>[1]Source!F1355</f>
        <v>калькуляция</v>
      </c>
      <c r="C1251" s="31" t="str">
        <f>[1]Source!G1355</f>
        <v>Посыпка  гранитной крошкой дорожных покрытий средствами малой механизации( расход крошки 100 г/м2)</v>
      </c>
      <c r="D1251" s="32" t="str">
        <f>[1]Source!H1355</f>
        <v>м2</v>
      </c>
      <c r="E1251" s="4">
        <f>[1]Source!I1355</f>
        <v>4602.29</v>
      </c>
      <c r="F1251" s="33"/>
      <c r="G1251" s="34"/>
      <c r="H1251" s="4"/>
      <c r="I1251" s="4"/>
      <c r="J1251" s="33"/>
      <c r="K1251" s="33"/>
      <c r="M1251"/>
      <c r="N1251"/>
      <c r="O1251"/>
      <c r="P1251"/>
      <c r="Q1251"/>
      <c r="AB1251">
        <f>ROUND(([1]Source!BZ1355/100)*ROUND(([1]Source!AF1355*[1]Source!AV1355)*[1]Source!I1355, 2), 2)</f>
        <v>0</v>
      </c>
      <c r="AC1251">
        <f>[1]Source!X1355</f>
        <v>0</v>
      </c>
      <c r="AD1251">
        <f>ROUND(([1]Source!CA1355/100)*ROUND(([1]Source!AF1355*[1]Source!AV1355)*[1]Source!I1355, 2), 2)</f>
        <v>0</v>
      </c>
      <c r="AE1251">
        <f>[1]Source!Y1355</f>
        <v>0</v>
      </c>
      <c r="AF1251">
        <f>ROUND((175/100)*ROUND(([1]Source!AE1355*[1]Source!AV1355)*[1]Source!I1355, 2), 2)</f>
        <v>0</v>
      </c>
      <c r="AG1251">
        <f>ROUND((108/100)*ROUND([1]Source!CS1355*[1]Source!I1355, 2), 2)</f>
        <v>0</v>
      </c>
    </row>
    <row r="1252" spans="1:33" ht="14.25" x14ac:dyDescent="0.2">
      <c r="A1252" s="31"/>
      <c r="B1252" s="31"/>
      <c r="C1252" s="31" t="s">
        <v>33</v>
      </c>
      <c r="D1252" s="32"/>
      <c r="E1252" s="4"/>
      <c r="F1252" s="33">
        <f>[1]Source!AM1355</f>
        <v>0.33</v>
      </c>
      <c r="G1252" s="34" t="str">
        <f>[1]Source!DE1355</f>
        <v>*4*168</v>
      </c>
      <c r="H1252" s="4">
        <f>[1]Source!AV1355</f>
        <v>1</v>
      </c>
      <c r="I1252" s="4">
        <f>IF([1]Source!BB1355&lt;&gt; 0, [1]Source!BB1355, 1)</f>
        <v>1</v>
      </c>
      <c r="J1252" s="33">
        <f>[1]Source!Q1355</f>
        <v>1020603.83</v>
      </c>
      <c r="K1252" s="33"/>
      <c r="M1252"/>
      <c r="N1252"/>
      <c r="O1252"/>
      <c r="P1252"/>
      <c r="Q1252"/>
    </row>
    <row r="1253" spans="1:33" ht="14.25" x14ac:dyDescent="0.2">
      <c r="A1253" s="31" t="s">
        <v>85</v>
      </c>
      <c r="B1253" s="31" t="str">
        <f>[1]Source!F1356</f>
        <v>цена поставщика</v>
      </c>
      <c r="C1253" s="31" t="str">
        <f>[1]Source!G1356</f>
        <v>Крошка гранитная</v>
      </c>
      <c r="D1253" s="32" t="str">
        <f>[1]Source!H1356</f>
        <v>кг</v>
      </c>
      <c r="E1253" s="4">
        <f>[1]Source!I1356</f>
        <v>309273.88799999992</v>
      </c>
      <c r="F1253" s="33">
        <f>[1]Source!AK1356</f>
        <v>4.43</v>
      </c>
      <c r="G1253" s="39" t="s">
        <v>68</v>
      </c>
      <c r="H1253" s="4">
        <f>[1]Source!AW1356</f>
        <v>1</v>
      </c>
      <c r="I1253" s="4">
        <f>IF([1]Source!BC1356&lt;&gt; 0, [1]Source!BC1356, 1)</f>
        <v>1</v>
      </c>
      <c r="J1253" s="33">
        <f>[1]Source!O1356</f>
        <v>1370083.32</v>
      </c>
      <c r="K1253" s="33"/>
      <c r="M1253"/>
      <c r="N1253"/>
      <c r="O1253"/>
      <c r="P1253"/>
      <c r="Q1253"/>
      <c r="AB1253">
        <f>ROUND(([1]Source!BZ1356/100)*ROUND(([1]Source!AF1356*[1]Source!AV1356)*[1]Source!I1356, 2), 2)</f>
        <v>0</v>
      </c>
      <c r="AC1253">
        <f>[1]Source!X1356</f>
        <v>0</v>
      </c>
      <c r="AD1253">
        <f>ROUND(([1]Source!CA1356/100)*ROUND(([1]Source!AF1356*[1]Source!AV1356)*[1]Source!I1356, 2), 2)</f>
        <v>0</v>
      </c>
      <c r="AE1253">
        <f>[1]Source!Y1356</f>
        <v>0</v>
      </c>
      <c r="AF1253">
        <f>ROUND((175/100)*ROUND(([1]Source!AE1356*[1]Source!AV1356)*[1]Source!I1356, 2), 2)</f>
        <v>0</v>
      </c>
      <c r="AG1253">
        <f>ROUND((108/100)*ROUND([1]Source!CS1356*[1]Source!I1356, 2), 2)</f>
        <v>0</v>
      </c>
    </row>
    <row r="1254" spans="1:33" ht="15" x14ac:dyDescent="0.25">
      <c r="A1254" s="35"/>
      <c r="B1254" s="35"/>
      <c r="C1254" s="35"/>
      <c r="D1254" s="35"/>
      <c r="E1254" s="35"/>
      <c r="F1254" s="35"/>
      <c r="G1254" s="35"/>
      <c r="H1254" s="35"/>
      <c r="I1254" s="36">
        <f>J1252+SUM(J1253:J1253)</f>
        <v>2390687.15</v>
      </c>
      <c r="J1254" s="36"/>
      <c r="K1254" s="37">
        <f>IF([1]Source!I1355&lt;&gt;0, ROUND(I1254/[1]Source!I1355, 2), 0)</f>
        <v>519.46</v>
      </c>
      <c r="M1254"/>
      <c r="N1254"/>
      <c r="O1254"/>
      <c r="P1254"/>
      <c r="Q1254"/>
      <c r="AA1254" s="38">
        <f>I1254</f>
        <v>2390687.15</v>
      </c>
    </row>
    <row r="1255" spans="1:33" ht="28.5" x14ac:dyDescent="0.2">
      <c r="A1255" s="31">
        <v>178</v>
      </c>
      <c r="B1255" s="31" t="str">
        <f>[1]Source!F1357</f>
        <v>калькуляция</v>
      </c>
      <c r="C1255" s="31" t="str">
        <f>[1]Source!G1357</f>
        <v>Посыпка гранитной крошкой  дорожных покрытий вручную( 100г/м2 )</v>
      </c>
      <c r="D1255" s="32" t="str">
        <f>[1]Source!H1357</f>
        <v>м2</v>
      </c>
      <c r="E1255" s="4">
        <f>[1]Source!I1357</f>
        <v>1972.41</v>
      </c>
      <c r="F1255" s="33"/>
      <c r="G1255" s="34"/>
      <c r="H1255" s="4"/>
      <c r="I1255" s="4"/>
      <c r="J1255" s="33"/>
      <c r="K1255" s="33"/>
      <c r="M1255"/>
      <c r="N1255"/>
      <c r="O1255"/>
      <c r="P1255"/>
      <c r="Q1255"/>
      <c r="AB1255">
        <f>ROUND(([1]Source!BZ1357/100)*ROUND(([1]Source!AF1357*[1]Source!AV1357)*[1]Source!I1357, 2), 2)</f>
        <v>0</v>
      </c>
      <c r="AC1255">
        <f>[1]Source!X1357</f>
        <v>0</v>
      </c>
      <c r="AD1255">
        <f>ROUND(([1]Source!CA1357/100)*ROUND(([1]Source!AF1357*[1]Source!AV1357)*[1]Source!I1357, 2), 2)</f>
        <v>0</v>
      </c>
      <c r="AE1255">
        <f>[1]Source!Y1357</f>
        <v>0</v>
      </c>
      <c r="AF1255">
        <f>ROUND((175/100)*ROUND(([1]Source!AE1357*[1]Source!AV1357)*[1]Source!I1357, 2), 2)</f>
        <v>0</v>
      </c>
      <c r="AG1255">
        <f>ROUND((108/100)*ROUND([1]Source!CS1357*[1]Source!I1357, 2), 2)</f>
        <v>0</v>
      </c>
    </row>
    <row r="1256" spans="1:33" ht="14.25" x14ac:dyDescent="0.2">
      <c r="A1256" s="31"/>
      <c r="B1256" s="31"/>
      <c r="C1256" s="31" t="s">
        <v>34</v>
      </c>
      <c r="D1256" s="32"/>
      <c r="E1256" s="4"/>
      <c r="F1256" s="33">
        <f>[1]Source!AO1357</f>
        <v>2.08</v>
      </c>
      <c r="G1256" s="34" t="str">
        <f>[1]Source!DG1357</f>
        <v>*4*168</v>
      </c>
      <c r="H1256" s="4">
        <f>[1]Source!AV1357</f>
        <v>1</v>
      </c>
      <c r="I1256" s="4">
        <f>IF([1]Source!BA1357&lt;&gt; 0, [1]Source!BA1357, 1)</f>
        <v>1</v>
      </c>
      <c r="J1256" s="33">
        <f>[1]Source!S1357</f>
        <v>2756955.8</v>
      </c>
      <c r="K1256" s="33"/>
      <c r="M1256"/>
      <c r="N1256"/>
      <c r="O1256"/>
      <c r="P1256"/>
      <c r="Q1256"/>
    </row>
    <row r="1257" spans="1:33" ht="14.25" x14ac:dyDescent="0.2">
      <c r="A1257" s="31" t="s">
        <v>86</v>
      </c>
      <c r="B1257" s="31" t="str">
        <f>[1]Source!F1358</f>
        <v>цена поставщика</v>
      </c>
      <c r="C1257" s="31" t="str">
        <f>[1]Source!G1358</f>
        <v>Крошка гранитная</v>
      </c>
      <c r="D1257" s="32" t="str">
        <f>[1]Source!H1358</f>
        <v>кг</v>
      </c>
      <c r="E1257" s="4">
        <f>[1]Source!I1358</f>
        <v>132545.95199999999</v>
      </c>
      <c r="F1257" s="33">
        <f>[1]Source!AK1358</f>
        <v>4.43</v>
      </c>
      <c r="G1257" s="39" t="s">
        <v>68</v>
      </c>
      <c r="H1257" s="4">
        <f>[1]Source!AW1358</f>
        <v>1</v>
      </c>
      <c r="I1257" s="4">
        <f>IF([1]Source!BC1358&lt;&gt; 0, [1]Source!BC1358, 1)</f>
        <v>1</v>
      </c>
      <c r="J1257" s="33">
        <f>[1]Source!O1358</f>
        <v>587178.56999999995</v>
      </c>
      <c r="K1257" s="33"/>
      <c r="M1257"/>
      <c r="N1257"/>
      <c r="O1257"/>
      <c r="P1257"/>
      <c r="Q1257"/>
      <c r="AB1257">
        <f>ROUND(([1]Source!BZ1358/100)*ROUND(([1]Source!AF1358*[1]Source!AV1358)*[1]Source!I1358, 2), 2)</f>
        <v>0</v>
      </c>
      <c r="AC1257">
        <f>[1]Source!X1358</f>
        <v>0</v>
      </c>
      <c r="AD1257">
        <f>ROUND(([1]Source!CA1358/100)*ROUND(([1]Source!AF1358*[1]Source!AV1358)*[1]Source!I1358, 2), 2)</f>
        <v>0</v>
      </c>
      <c r="AE1257">
        <f>[1]Source!Y1358</f>
        <v>0</v>
      </c>
      <c r="AF1257">
        <f>ROUND((175/100)*ROUND(([1]Source!AE1358*[1]Source!AV1358)*[1]Source!I1358, 2), 2)</f>
        <v>0</v>
      </c>
      <c r="AG1257">
        <f>ROUND((108/100)*ROUND([1]Source!CS1358*[1]Source!I1358, 2), 2)</f>
        <v>0</v>
      </c>
    </row>
    <row r="1258" spans="1:33" ht="15" x14ac:dyDescent="0.25">
      <c r="A1258" s="35"/>
      <c r="B1258" s="35"/>
      <c r="C1258" s="35"/>
      <c r="D1258" s="35"/>
      <c r="E1258" s="35"/>
      <c r="F1258" s="35"/>
      <c r="G1258" s="35"/>
      <c r="H1258" s="35"/>
      <c r="I1258" s="36">
        <f>J1256+SUM(J1257:J1257)</f>
        <v>3344134.3699999996</v>
      </c>
      <c r="J1258" s="36"/>
      <c r="K1258" s="37">
        <f>IF([1]Source!I1357&lt;&gt;0, ROUND(I1258/[1]Source!I1357, 2), 0)</f>
        <v>1695.46</v>
      </c>
      <c r="M1258"/>
      <c r="N1258"/>
      <c r="O1258"/>
      <c r="P1258"/>
      <c r="Q1258"/>
      <c r="AA1258" s="38">
        <f>I1258</f>
        <v>3344134.3699999996</v>
      </c>
    </row>
    <row r="1259" spans="1:33" ht="28.5" x14ac:dyDescent="0.2">
      <c r="A1259" s="31">
        <v>179</v>
      </c>
      <c r="B1259" s="31" t="str">
        <f>[1]Source!F1359</f>
        <v>5.4-1201-1-1/1</v>
      </c>
      <c r="C1259" s="31" t="str">
        <f>[1]Source!G1359</f>
        <v>Сбор случайного мусора по территории</v>
      </c>
      <c r="D1259" s="32" t="str">
        <f>[1]Source!H1359</f>
        <v>100 м2</v>
      </c>
      <c r="E1259" s="4">
        <f>[1]Source!I1359</f>
        <v>65.747</v>
      </c>
      <c r="F1259" s="33"/>
      <c r="G1259" s="34"/>
      <c r="H1259" s="4"/>
      <c r="I1259" s="4"/>
      <c r="J1259" s="33"/>
      <c r="K1259" s="33"/>
      <c r="M1259"/>
      <c r="N1259"/>
      <c r="O1259"/>
      <c r="P1259"/>
      <c r="Q1259"/>
      <c r="AB1259">
        <f>ROUND(([1]Source!BZ1359/100)*ROUND(([1]Source!AF1359*[1]Source!AV1359)*[1]Source!I1359, 2), 2)</f>
        <v>757868.3</v>
      </c>
      <c r="AC1259">
        <f>[1]Source!X1359</f>
        <v>757868.3</v>
      </c>
      <c r="AD1259">
        <f>ROUND(([1]Source!CA1359/100)*ROUND(([1]Source!AF1359*[1]Source!AV1359)*[1]Source!I1359, 2), 2)</f>
        <v>108266.9</v>
      </c>
      <c r="AE1259">
        <f>[1]Source!Y1359</f>
        <v>108266.9</v>
      </c>
      <c r="AF1259">
        <f>ROUND((175/100)*ROUND(([1]Source!AE1359*[1]Source!AV1359)*[1]Source!I1359, 2), 2)</f>
        <v>0</v>
      </c>
      <c r="AG1259">
        <f>ROUND((108/100)*ROUND([1]Source!CS1359*[1]Source!I1359, 2), 2)</f>
        <v>0</v>
      </c>
    </row>
    <row r="1260" spans="1:33" x14ac:dyDescent="0.2">
      <c r="C1260" s="40" t="str">
        <f>"Объем: "&amp;[1]Source!I1359&amp;"=6574,7/"&amp;"100"</f>
        <v>Объем: 65,747=6574,7/100</v>
      </c>
      <c r="M1260"/>
      <c r="N1260"/>
      <c r="O1260"/>
      <c r="P1260"/>
      <c r="Q1260"/>
    </row>
    <row r="1261" spans="1:33" ht="14.25" x14ac:dyDescent="0.2">
      <c r="A1261" s="31"/>
      <c r="B1261" s="31"/>
      <c r="C1261" s="31" t="s">
        <v>34</v>
      </c>
      <c r="D1261" s="32"/>
      <c r="E1261" s="4"/>
      <c r="F1261" s="33">
        <f>[1]Source!AO1359</f>
        <v>12.4</v>
      </c>
      <c r="G1261" s="34" t="str">
        <f>[1]Source!DG1359</f>
        <v>)*4*332</v>
      </c>
      <c r="H1261" s="4">
        <f>[1]Source!AV1359</f>
        <v>1</v>
      </c>
      <c r="I1261" s="4">
        <f>IF([1]Source!BA1359&lt;&gt; 0, [1]Source!BA1359, 1)</f>
        <v>1</v>
      </c>
      <c r="J1261" s="33">
        <f>[1]Source!S1359</f>
        <v>1082669</v>
      </c>
      <c r="K1261" s="33"/>
      <c r="M1261"/>
      <c r="N1261"/>
      <c r="O1261"/>
      <c r="P1261"/>
      <c r="Q1261"/>
    </row>
    <row r="1262" spans="1:33" ht="14.25" x14ac:dyDescent="0.2">
      <c r="A1262" s="31"/>
      <c r="B1262" s="31"/>
      <c r="C1262" s="31" t="s">
        <v>47</v>
      </c>
      <c r="D1262" s="32"/>
      <c r="E1262" s="4"/>
      <c r="F1262" s="33">
        <f>[1]Source!AL1359</f>
        <v>0.69</v>
      </c>
      <c r="G1262" s="34" t="str">
        <f>[1]Source!DD1359</f>
        <v>)*4*332</v>
      </c>
      <c r="H1262" s="4">
        <f>[1]Source!AW1359</f>
        <v>1</v>
      </c>
      <c r="I1262" s="4">
        <f>IF([1]Source!BC1359&lt;&gt; 0, [1]Source!BC1359, 1)</f>
        <v>1</v>
      </c>
      <c r="J1262" s="33">
        <f>[1]Source!P1359</f>
        <v>60245.29</v>
      </c>
      <c r="K1262" s="33"/>
      <c r="M1262"/>
      <c r="N1262"/>
      <c r="O1262"/>
      <c r="P1262"/>
      <c r="Q1262"/>
    </row>
    <row r="1263" spans="1:33" ht="14.25" x14ac:dyDescent="0.2">
      <c r="A1263" s="31"/>
      <c r="B1263" s="31"/>
      <c r="C1263" s="31" t="s">
        <v>40</v>
      </c>
      <c r="D1263" s="32" t="s">
        <v>39</v>
      </c>
      <c r="E1263" s="4">
        <f>[1]Source!AT1359</f>
        <v>70</v>
      </c>
      <c r="F1263" s="33"/>
      <c r="G1263" s="34"/>
      <c r="H1263" s="4"/>
      <c r="I1263" s="4"/>
      <c r="J1263" s="33">
        <f>SUM(AC1259:AC1262)</f>
        <v>757868.3</v>
      </c>
      <c r="K1263" s="33"/>
      <c r="M1263"/>
      <c r="N1263"/>
      <c r="O1263"/>
      <c r="P1263"/>
      <c r="Q1263"/>
    </row>
    <row r="1264" spans="1:33" ht="14.25" x14ac:dyDescent="0.2">
      <c r="A1264" s="31"/>
      <c r="B1264" s="31"/>
      <c r="C1264" s="31" t="s">
        <v>41</v>
      </c>
      <c r="D1264" s="32" t="s">
        <v>39</v>
      </c>
      <c r="E1264" s="4">
        <f>[1]Source!AU1359</f>
        <v>10</v>
      </c>
      <c r="F1264" s="33"/>
      <c r="G1264" s="34"/>
      <c r="H1264" s="4"/>
      <c r="I1264" s="4"/>
      <c r="J1264" s="33">
        <f>SUM(AE1259:AE1263)</f>
        <v>108266.9</v>
      </c>
      <c r="K1264" s="33"/>
      <c r="M1264"/>
      <c r="N1264"/>
      <c r="O1264"/>
      <c r="P1264"/>
      <c r="Q1264"/>
    </row>
    <row r="1265" spans="1:43" ht="14.25" x14ac:dyDescent="0.2">
      <c r="A1265" s="31"/>
      <c r="B1265" s="31"/>
      <c r="C1265" s="31" t="s">
        <v>42</v>
      </c>
      <c r="D1265" s="32" t="s">
        <v>43</v>
      </c>
      <c r="E1265" s="4">
        <f>[1]Source!AQ1359</f>
        <v>0.05</v>
      </c>
      <c r="F1265" s="33"/>
      <c r="G1265" s="34" t="str">
        <f>[1]Source!DI1359</f>
        <v>)*4*332</v>
      </c>
      <c r="H1265" s="4">
        <f>[1]Source!AV1359</f>
        <v>1</v>
      </c>
      <c r="I1265" s="4"/>
      <c r="J1265" s="33"/>
      <c r="K1265" s="33">
        <f>[1]Source!U1359</f>
        <v>4365.6008000000002</v>
      </c>
      <c r="M1265"/>
      <c r="N1265"/>
      <c r="O1265"/>
      <c r="P1265"/>
      <c r="Q1265"/>
    </row>
    <row r="1266" spans="1:43" ht="15" x14ac:dyDescent="0.25">
      <c r="A1266" s="35"/>
      <c r="B1266" s="35"/>
      <c r="C1266" s="35"/>
      <c r="D1266" s="35"/>
      <c r="E1266" s="35"/>
      <c r="F1266" s="35"/>
      <c r="G1266" s="35"/>
      <c r="H1266" s="35"/>
      <c r="I1266" s="36">
        <f>J1261+J1262+J1263+J1264</f>
        <v>2009049.49</v>
      </c>
      <c r="J1266" s="36"/>
      <c r="K1266" s="37">
        <f>IF([1]Source!I1359&lt;&gt;0, ROUND(I1266/[1]Source!I1359, 2), 0)</f>
        <v>30557.279999999999</v>
      </c>
      <c r="M1266"/>
      <c r="N1266"/>
      <c r="O1266"/>
      <c r="P1266"/>
      <c r="Q1266"/>
      <c r="AA1266" s="38">
        <f>I1266</f>
        <v>2009049.49</v>
      </c>
    </row>
    <row r="1267" spans="1:43" x14ac:dyDescent="0.2">
      <c r="M1267"/>
      <c r="N1267"/>
      <c r="O1267"/>
      <c r="P1267"/>
      <c r="Q1267"/>
    </row>
    <row r="1268" spans="1:43" ht="30" x14ac:dyDescent="0.25">
      <c r="A1268" s="42" t="str">
        <f>CONCATENATE("Итого по разделу: ",IF([1]Source!G1361&lt;&gt;"Новый раздел", [1]Source!G1361, ""))</f>
        <v>Итого по разделу: Содержание покрытий "Варьиной площади" + Москворецкая улица ( S= 6574,7 м2 ).</v>
      </c>
      <c r="B1268" s="42"/>
      <c r="C1268" s="42"/>
      <c r="D1268" s="42"/>
      <c r="E1268" s="42"/>
      <c r="F1268" s="42"/>
      <c r="G1268" s="42"/>
      <c r="H1268" s="42"/>
      <c r="I1268" s="43">
        <f>SUM(AA1189:AA1267)</f>
        <v>18699948.140000001</v>
      </c>
      <c r="J1268" s="44"/>
      <c r="K1268" s="47"/>
      <c r="L1268" s="38">
        <f>I1268</f>
        <v>18699948.140000001</v>
      </c>
      <c r="M1268" s="2">
        <f>ROUND(I1268*$I$4874,2)</f>
        <v>13505230.6</v>
      </c>
      <c r="N1268" s="2">
        <f>ROUND(M1268*1.2/105*100,2)</f>
        <v>15434549.26</v>
      </c>
      <c r="O1268" s="2">
        <f>ROUND(N1268*0.05,2)</f>
        <v>771727.46</v>
      </c>
      <c r="P1268" s="2">
        <f>N1268+O1268-0.01</f>
        <v>16206276.709999999</v>
      </c>
      <c r="Q1268" s="3">
        <v>50</v>
      </c>
      <c r="R1268">
        <v>2</v>
      </c>
      <c r="S1268" s="2">
        <v>2982520.53</v>
      </c>
      <c r="AQ1268" s="46" t="str">
        <f>CONCATENATE("Итого по разделу: ",IF([1]Source!G1361&lt;&gt;"Новый раздел", [1]Source!G1361, ""))</f>
        <v>Итого по разделу: Содержание покрытий "Варьиной площади" + Москворецкая улица ( S= 6574,7 м2 ).</v>
      </c>
    </row>
    <row r="1269" spans="1:43" x14ac:dyDescent="0.2">
      <c r="M1269"/>
      <c r="N1269"/>
      <c r="O1269"/>
      <c r="P1269"/>
      <c r="Q1269"/>
    </row>
    <row r="1270" spans="1:43" x14ac:dyDescent="0.2">
      <c r="M1270"/>
      <c r="N1270"/>
      <c r="O1270"/>
      <c r="P1270"/>
      <c r="Q1270"/>
    </row>
    <row r="1271" spans="1:43" ht="16.5" x14ac:dyDescent="0.25">
      <c r="A1271" s="29" t="str">
        <f>CONCATENATE("Раздел: ",IF([1]Source!G1391&lt;&gt;"Новый раздел", [1]Source!G1391, ""))</f>
        <v>Раздел: Уход за водотводными лотками.( 1480,34 м )</v>
      </c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M1271"/>
      <c r="N1271"/>
      <c r="O1271"/>
      <c r="P1271"/>
      <c r="Q1271"/>
    </row>
    <row r="1272" spans="1:43" ht="57" x14ac:dyDescent="0.2">
      <c r="A1272" s="31">
        <v>180</v>
      </c>
      <c r="B1272" s="31" t="str">
        <f>[1]Source!F1395</f>
        <v>5.3-1102-26-1/1</v>
      </c>
      <c r="C1272" s="31" t="str">
        <f>[1]Source!G1395</f>
        <v>Очистка лотков с решетками от снега, сечение лотка 100 см2, количество креплений решеток 20 шт.(  сечение 100 см2)</v>
      </c>
      <c r="D1272" s="32" t="str">
        <f>[1]Source!H1395</f>
        <v>10 м</v>
      </c>
      <c r="E1272" s="4">
        <f>[1]Source!I1395</f>
        <v>7.3330000000000002</v>
      </c>
      <c r="F1272" s="33"/>
      <c r="G1272" s="34"/>
      <c r="H1272" s="4"/>
      <c r="I1272" s="4"/>
      <c r="J1272" s="33"/>
      <c r="K1272" s="33"/>
      <c r="M1272"/>
      <c r="N1272"/>
      <c r="O1272"/>
      <c r="P1272"/>
      <c r="Q1272"/>
      <c r="AB1272">
        <f>ROUND(([1]Source!BZ1395/100)*ROUND(([1]Source!AF1395*[1]Source!AV1395)*[1]Source!I1395, 2), 2)</f>
        <v>21068.3</v>
      </c>
      <c r="AC1272">
        <f>[1]Source!X1395</f>
        <v>21068.3</v>
      </c>
      <c r="AD1272">
        <f>ROUND(([1]Source!CA1395/100)*ROUND(([1]Source!AF1395*[1]Source!AV1395)*[1]Source!I1395, 2), 2)</f>
        <v>3009.76</v>
      </c>
      <c r="AE1272">
        <f>[1]Source!Y1395</f>
        <v>3009.76</v>
      </c>
      <c r="AF1272">
        <f>ROUND((175/100)*ROUND(([1]Source!AE1395*[1]Source!AV1395)*[1]Source!I1395, 2), 2)</f>
        <v>0</v>
      </c>
      <c r="AG1272">
        <f>ROUND((108/100)*ROUND([1]Source!CS1395*[1]Source!I1395, 2), 2)</f>
        <v>0</v>
      </c>
    </row>
    <row r="1273" spans="1:43" x14ac:dyDescent="0.2">
      <c r="C1273" s="40" t="str">
        <f>"Объем: "&amp;[1]Source!I1395&amp;"=73,33/"&amp;"10"</f>
        <v>Объем: 7,333=73,33/10</v>
      </c>
      <c r="M1273"/>
      <c r="N1273"/>
      <c r="O1273"/>
      <c r="P1273"/>
      <c r="Q1273"/>
    </row>
    <row r="1274" spans="1:43" ht="14.25" x14ac:dyDescent="0.2">
      <c r="A1274" s="31"/>
      <c r="B1274" s="31"/>
      <c r="C1274" s="31" t="s">
        <v>34</v>
      </c>
      <c r="D1274" s="32"/>
      <c r="E1274" s="4"/>
      <c r="F1274" s="33">
        <f>[1]Source!AO1395</f>
        <v>205.22</v>
      </c>
      <c r="G1274" s="34" t="str">
        <f>[1]Source!DG1395</f>
        <v>)*1*20</v>
      </c>
      <c r="H1274" s="4">
        <f>[1]Source!AV1395</f>
        <v>1</v>
      </c>
      <c r="I1274" s="4">
        <f>IF([1]Source!BA1395&lt;&gt; 0, [1]Source!BA1395, 1)</f>
        <v>1</v>
      </c>
      <c r="J1274" s="33">
        <f>[1]Source!S1395</f>
        <v>30097.57</v>
      </c>
      <c r="K1274" s="33"/>
      <c r="M1274"/>
      <c r="N1274"/>
      <c r="O1274"/>
      <c r="P1274"/>
      <c r="Q1274"/>
    </row>
    <row r="1275" spans="1:43" ht="14.25" x14ac:dyDescent="0.2">
      <c r="A1275" s="31"/>
      <c r="B1275" s="31"/>
      <c r="C1275" s="31" t="s">
        <v>40</v>
      </c>
      <c r="D1275" s="32" t="s">
        <v>39</v>
      </c>
      <c r="E1275" s="4">
        <f>[1]Source!AT1395</f>
        <v>70</v>
      </c>
      <c r="F1275" s="33"/>
      <c r="G1275" s="34"/>
      <c r="H1275" s="4"/>
      <c r="I1275" s="4"/>
      <c r="J1275" s="33">
        <f>SUM(AC1272:AC1274)</f>
        <v>21068.3</v>
      </c>
      <c r="K1275" s="33"/>
      <c r="M1275"/>
      <c r="N1275"/>
      <c r="O1275"/>
      <c r="P1275"/>
      <c r="Q1275"/>
    </row>
    <row r="1276" spans="1:43" ht="14.25" x14ac:dyDescent="0.2">
      <c r="A1276" s="31"/>
      <c r="B1276" s="31"/>
      <c r="C1276" s="31" t="s">
        <v>41</v>
      </c>
      <c r="D1276" s="32" t="s">
        <v>39</v>
      </c>
      <c r="E1276" s="4">
        <f>[1]Source!AU1395</f>
        <v>10</v>
      </c>
      <c r="F1276" s="33"/>
      <c r="G1276" s="34"/>
      <c r="H1276" s="4"/>
      <c r="I1276" s="4"/>
      <c r="J1276" s="33">
        <f>SUM(AE1272:AE1275)</f>
        <v>3009.76</v>
      </c>
      <c r="K1276" s="33"/>
      <c r="M1276"/>
      <c r="N1276"/>
      <c r="O1276"/>
      <c r="P1276"/>
      <c r="Q1276"/>
    </row>
    <row r="1277" spans="1:43" ht="14.25" x14ac:dyDescent="0.2">
      <c r="A1277" s="31"/>
      <c r="B1277" s="31"/>
      <c r="C1277" s="31" t="s">
        <v>42</v>
      </c>
      <c r="D1277" s="32" t="s">
        <v>43</v>
      </c>
      <c r="E1277" s="4">
        <f>[1]Source!AQ1395</f>
        <v>0.74</v>
      </c>
      <c r="F1277" s="33"/>
      <c r="G1277" s="34" t="str">
        <f>[1]Source!DI1395</f>
        <v>)*1*20</v>
      </c>
      <c r="H1277" s="4">
        <f>[1]Source!AV1395</f>
        <v>1</v>
      </c>
      <c r="I1277" s="4"/>
      <c r="J1277" s="33"/>
      <c r="K1277" s="33">
        <f>[1]Source!U1395</f>
        <v>108.5284</v>
      </c>
      <c r="M1277"/>
      <c r="N1277"/>
      <c r="O1277"/>
      <c r="P1277"/>
      <c r="Q1277"/>
    </row>
    <row r="1278" spans="1:43" ht="15" x14ac:dyDescent="0.25">
      <c r="A1278" s="35"/>
      <c r="B1278" s="35"/>
      <c r="C1278" s="35"/>
      <c r="D1278" s="35"/>
      <c r="E1278" s="35"/>
      <c r="F1278" s="35"/>
      <c r="G1278" s="35"/>
      <c r="H1278" s="35"/>
      <c r="I1278" s="36">
        <f>J1274+J1275+J1276</f>
        <v>54175.63</v>
      </c>
      <c r="J1278" s="36"/>
      <c r="K1278" s="37">
        <f>IF([1]Source!I1395&lt;&gt;0, ROUND(I1278/[1]Source!I1395, 2), 0)</f>
        <v>7387.92</v>
      </c>
      <c r="M1278"/>
      <c r="N1278"/>
      <c r="O1278"/>
      <c r="P1278"/>
      <c r="Q1278"/>
      <c r="AA1278" s="38">
        <f>I1278</f>
        <v>54175.63</v>
      </c>
    </row>
    <row r="1279" spans="1:43" ht="57" x14ac:dyDescent="0.2">
      <c r="A1279" s="31">
        <v>181</v>
      </c>
      <c r="B1279" s="31" t="str">
        <f>[1]Source!F1396</f>
        <v>5.3-1102-26-1/1</v>
      </c>
      <c r="C1279" s="31" t="str">
        <f>[1]Source!G1396</f>
        <v>Очистка лотков с решетками от снега, сечение лотка 100 см2, количество креплений решеток 20 шт.(  сечение 140 см2)</v>
      </c>
      <c r="D1279" s="32" t="str">
        <f>[1]Source!H1396</f>
        <v>10 м</v>
      </c>
      <c r="E1279" s="4">
        <f>[1]Source!I1396</f>
        <v>12.739000000000001</v>
      </c>
      <c r="F1279" s="33"/>
      <c r="G1279" s="34"/>
      <c r="H1279" s="4"/>
      <c r="I1279" s="4"/>
      <c r="J1279" s="33"/>
      <c r="K1279" s="33"/>
      <c r="M1279"/>
      <c r="N1279"/>
      <c r="O1279"/>
      <c r="P1279"/>
      <c r="Q1279"/>
      <c r="AB1279">
        <f>ROUND(([1]Source!BZ1396/100)*ROUND(([1]Source!AF1396*[1]Source!AV1396)*[1]Source!I1396, 2), 2)</f>
        <v>36600.17</v>
      </c>
      <c r="AC1279">
        <f>[1]Source!X1396</f>
        <v>36600.17</v>
      </c>
      <c r="AD1279">
        <f>ROUND(([1]Source!CA1396/100)*ROUND(([1]Source!AF1396*[1]Source!AV1396)*[1]Source!I1396, 2), 2)</f>
        <v>5228.6000000000004</v>
      </c>
      <c r="AE1279">
        <f>[1]Source!Y1396</f>
        <v>5228.6000000000004</v>
      </c>
      <c r="AF1279">
        <f>ROUND((175/100)*ROUND(([1]Source!AE1396*[1]Source!AV1396)*[1]Source!I1396, 2), 2)</f>
        <v>0</v>
      </c>
      <c r="AG1279">
        <f>ROUND((108/100)*ROUND([1]Source!CS1396*[1]Source!I1396, 2), 2)</f>
        <v>0</v>
      </c>
    </row>
    <row r="1280" spans="1:43" x14ac:dyDescent="0.2">
      <c r="C1280" s="40" t="str">
        <f>"Объем: "&amp;[1]Source!I1396&amp;"=127,39/"&amp;"10"</f>
        <v>Объем: 12,739=127,39/10</v>
      </c>
      <c r="M1280"/>
      <c r="N1280"/>
      <c r="O1280"/>
      <c r="P1280"/>
      <c r="Q1280"/>
    </row>
    <row r="1281" spans="1:33" ht="14.25" x14ac:dyDescent="0.2">
      <c r="A1281" s="31"/>
      <c r="B1281" s="31"/>
      <c r="C1281" s="31" t="s">
        <v>34</v>
      </c>
      <c r="D1281" s="32"/>
      <c r="E1281" s="4"/>
      <c r="F1281" s="33">
        <f>[1]Source!AO1396</f>
        <v>205.22</v>
      </c>
      <c r="G1281" s="34" t="str">
        <f>[1]Source!DG1396</f>
        <v>)*1*20</v>
      </c>
      <c r="H1281" s="4">
        <f>[1]Source!AV1396</f>
        <v>1</v>
      </c>
      <c r="I1281" s="4">
        <f>IF([1]Source!BA1396&lt;&gt; 0, [1]Source!BA1396, 1)</f>
        <v>1</v>
      </c>
      <c r="J1281" s="33">
        <f>[1]Source!S1396</f>
        <v>52285.95</v>
      </c>
      <c r="K1281" s="33"/>
      <c r="M1281"/>
      <c r="N1281"/>
      <c r="O1281"/>
      <c r="P1281"/>
      <c r="Q1281"/>
    </row>
    <row r="1282" spans="1:33" ht="14.25" x14ac:dyDescent="0.2">
      <c r="A1282" s="31"/>
      <c r="B1282" s="31"/>
      <c r="C1282" s="31" t="s">
        <v>40</v>
      </c>
      <c r="D1282" s="32" t="s">
        <v>39</v>
      </c>
      <c r="E1282" s="4">
        <f>[1]Source!AT1396</f>
        <v>70</v>
      </c>
      <c r="F1282" s="33"/>
      <c r="G1282" s="34"/>
      <c r="H1282" s="4"/>
      <c r="I1282" s="4"/>
      <c r="J1282" s="33">
        <f>SUM(AC1279:AC1281)</f>
        <v>36600.17</v>
      </c>
      <c r="K1282" s="33"/>
      <c r="M1282"/>
      <c r="N1282"/>
      <c r="O1282"/>
      <c r="P1282"/>
      <c r="Q1282"/>
    </row>
    <row r="1283" spans="1:33" ht="14.25" x14ac:dyDescent="0.2">
      <c r="A1283" s="31"/>
      <c r="B1283" s="31"/>
      <c r="C1283" s="31" t="s">
        <v>41</v>
      </c>
      <c r="D1283" s="32" t="s">
        <v>39</v>
      </c>
      <c r="E1283" s="4">
        <f>[1]Source!AU1396</f>
        <v>10</v>
      </c>
      <c r="F1283" s="33"/>
      <c r="G1283" s="34"/>
      <c r="H1283" s="4"/>
      <c r="I1283" s="4"/>
      <c r="J1283" s="33">
        <f>SUM(AE1279:AE1282)</f>
        <v>5228.6000000000004</v>
      </c>
      <c r="K1283" s="33"/>
      <c r="M1283"/>
      <c r="N1283"/>
      <c r="O1283"/>
      <c r="P1283"/>
      <c r="Q1283"/>
    </row>
    <row r="1284" spans="1:33" ht="14.25" x14ac:dyDescent="0.2">
      <c r="A1284" s="31"/>
      <c r="B1284" s="31"/>
      <c r="C1284" s="31" t="s">
        <v>42</v>
      </c>
      <c r="D1284" s="32" t="s">
        <v>43</v>
      </c>
      <c r="E1284" s="4">
        <f>[1]Source!AQ1396</f>
        <v>0.74</v>
      </c>
      <c r="F1284" s="33"/>
      <c r="G1284" s="34" t="str">
        <f>[1]Source!DI1396</f>
        <v>)*1*20</v>
      </c>
      <c r="H1284" s="4">
        <f>[1]Source!AV1396</f>
        <v>1</v>
      </c>
      <c r="I1284" s="4"/>
      <c r="J1284" s="33"/>
      <c r="K1284" s="33">
        <f>[1]Source!U1396</f>
        <v>188.53720000000001</v>
      </c>
      <c r="M1284"/>
      <c r="N1284"/>
      <c r="O1284"/>
      <c r="P1284"/>
      <c r="Q1284"/>
    </row>
    <row r="1285" spans="1:33" ht="15" x14ac:dyDescent="0.25">
      <c r="A1285" s="35"/>
      <c r="B1285" s="35"/>
      <c r="C1285" s="35"/>
      <c r="D1285" s="35"/>
      <c r="E1285" s="35"/>
      <c r="F1285" s="35"/>
      <c r="G1285" s="35"/>
      <c r="H1285" s="35"/>
      <c r="I1285" s="36">
        <f>J1281+J1282+J1283</f>
        <v>94114.72</v>
      </c>
      <c r="J1285" s="36"/>
      <c r="K1285" s="37">
        <f>IF([1]Source!I1396&lt;&gt;0, ROUND(I1285/[1]Source!I1396, 2), 0)</f>
        <v>7387.92</v>
      </c>
      <c r="M1285"/>
      <c r="N1285"/>
      <c r="O1285"/>
      <c r="P1285"/>
      <c r="Q1285"/>
      <c r="AA1285" s="38">
        <f>I1285</f>
        <v>94114.72</v>
      </c>
    </row>
    <row r="1286" spans="1:33" ht="42.75" x14ac:dyDescent="0.2">
      <c r="A1286" s="31">
        <v>182</v>
      </c>
      <c r="B1286" s="31" t="str">
        <f>[1]Source!F1397</f>
        <v>5.3-1102-26-2/1</v>
      </c>
      <c r="C1286" s="31" t="str">
        <f>[1]Source!G1397</f>
        <v>Очистка лотков с решетками от снега, добавлять к 3-1102-26-1 на каждые 100 см2 изменения сечения лотка</v>
      </c>
      <c r="D1286" s="32" t="str">
        <f>[1]Source!H1397</f>
        <v>10 м</v>
      </c>
      <c r="E1286" s="4">
        <f>[1]Source!I1397</f>
        <v>12.739000000000001</v>
      </c>
      <c r="F1286" s="33"/>
      <c r="G1286" s="34"/>
      <c r="H1286" s="4"/>
      <c r="I1286" s="4"/>
      <c r="J1286" s="33"/>
      <c r="K1286" s="33"/>
      <c r="M1286"/>
      <c r="N1286"/>
      <c r="O1286"/>
      <c r="P1286"/>
      <c r="Q1286"/>
      <c r="AB1286">
        <f>ROUND(([1]Source!BZ1397/100)*ROUND(([1]Source!AF1397*[1]Source!AV1397)*[1]Source!I1397, 2), 2)</f>
        <v>1583</v>
      </c>
      <c r="AC1286">
        <f>[1]Source!X1397</f>
        <v>1583</v>
      </c>
      <c r="AD1286">
        <f>ROUND(([1]Source!CA1397/100)*ROUND(([1]Source!AF1397*[1]Source!AV1397)*[1]Source!I1397, 2), 2)</f>
        <v>226.14</v>
      </c>
      <c r="AE1286">
        <f>[1]Source!Y1397</f>
        <v>226.14</v>
      </c>
      <c r="AF1286">
        <f>ROUND((175/100)*ROUND(([1]Source!AE1397*[1]Source!AV1397)*[1]Source!I1397, 2), 2)</f>
        <v>0</v>
      </c>
      <c r="AG1286">
        <f>ROUND((108/100)*ROUND([1]Source!CS1397*[1]Source!I1397, 2), 2)</f>
        <v>0</v>
      </c>
    </row>
    <row r="1287" spans="1:33" x14ac:dyDescent="0.2">
      <c r="C1287" s="40" t="str">
        <f>"Объем: "&amp;[1]Source!I1397&amp;"=127,39/"&amp;"10"</f>
        <v>Объем: 12,739=127,39/10</v>
      </c>
      <c r="M1287"/>
      <c r="N1287"/>
      <c r="O1287"/>
      <c r="P1287"/>
      <c r="Q1287"/>
    </row>
    <row r="1288" spans="1:33" ht="14.25" x14ac:dyDescent="0.2">
      <c r="A1288" s="31"/>
      <c r="B1288" s="31"/>
      <c r="C1288" s="31" t="s">
        <v>34</v>
      </c>
      <c r="D1288" s="32"/>
      <c r="E1288" s="4"/>
      <c r="F1288" s="33">
        <f>[1]Source!AO1397</f>
        <v>22.19</v>
      </c>
      <c r="G1288" s="34" t="str">
        <f>[1]Source!DG1397</f>
        <v>)*1*0,4*20</v>
      </c>
      <c r="H1288" s="4">
        <f>[1]Source!AV1397</f>
        <v>1</v>
      </c>
      <c r="I1288" s="4">
        <f>IF([1]Source!BA1397&lt;&gt; 0, [1]Source!BA1397, 1)</f>
        <v>1</v>
      </c>
      <c r="J1288" s="33">
        <f>[1]Source!S1397</f>
        <v>2261.4299999999998</v>
      </c>
      <c r="K1288" s="33"/>
      <c r="M1288"/>
      <c r="N1288"/>
      <c r="O1288"/>
      <c r="P1288"/>
      <c r="Q1288"/>
    </row>
    <row r="1289" spans="1:33" ht="14.25" x14ac:dyDescent="0.2">
      <c r="A1289" s="31"/>
      <c r="B1289" s="31"/>
      <c r="C1289" s="31" t="s">
        <v>40</v>
      </c>
      <c r="D1289" s="32" t="s">
        <v>39</v>
      </c>
      <c r="E1289" s="4">
        <f>[1]Source!AT1397</f>
        <v>70</v>
      </c>
      <c r="F1289" s="33"/>
      <c r="G1289" s="34"/>
      <c r="H1289" s="4"/>
      <c r="I1289" s="4"/>
      <c r="J1289" s="33">
        <f>SUM(AC1286:AC1288)</f>
        <v>1583</v>
      </c>
      <c r="K1289" s="33"/>
      <c r="M1289"/>
      <c r="N1289"/>
      <c r="O1289"/>
      <c r="P1289"/>
      <c r="Q1289"/>
    </row>
    <row r="1290" spans="1:33" ht="14.25" x14ac:dyDescent="0.2">
      <c r="A1290" s="31"/>
      <c r="B1290" s="31"/>
      <c r="C1290" s="31" t="s">
        <v>41</v>
      </c>
      <c r="D1290" s="32" t="s">
        <v>39</v>
      </c>
      <c r="E1290" s="4">
        <f>[1]Source!AU1397</f>
        <v>10</v>
      </c>
      <c r="F1290" s="33"/>
      <c r="G1290" s="34"/>
      <c r="H1290" s="4"/>
      <c r="I1290" s="4"/>
      <c r="J1290" s="33">
        <f>SUM(AE1286:AE1289)</f>
        <v>226.14</v>
      </c>
      <c r="K1290" s="33"/>
      <c r="M1290"/>
      <c r="N1290"/>
      <c r="O1290"/>
      <c r="P1290"/>
      <c r="Q1290"/>
    </row>
    <row r="1291" spans="1:33" ht="14.25" x14ac:dyDescent="0.2">
      <c r="A1291" s="31"/>
      <c r="B1291" s="31"/>
      <c r="C1291" s="31" t="s">
        <v>42</v>
      </c>
      <c r="D1291" s="32" t="s">
        <v>43</v>
      </c>
      <c r="E1291" s="4">
        <f>[1]Source!AQ1397</f>
        <v>0.08</v>
      </c>
      <c r="F1291" s="33"/>
      <c r="G1291" s="34" t="str">
        <f>[1]Source!DI1397</f>
        <v>)*1*0,4*20</v>
      </c>
      <c r="H1291" s="4">
        <f>[1]Source!AV1397</f>
        <v>1</v>
      </c>
      <c r="I1291" s="4"/>
      <c r="J1291" s="33"/>
      <c r="K1291" s="33">
        <f>[1]Source!U1397</f>
        <v>8.1529600000000002</v>
      </c>
      <c r="M1291"/>
      <c r="N1291"/>
      <c r="O1291"/>
      <c r="P1291"/>
      <c r="Q1291"/>
    </row>
    <row r="1292" spans="1:33" ht="15" x14ac:dyDescent="0.25">
      <c r="A1292" s="35"/>
      <c r="B1292" s="35"/>
      <c r="C1292" s="35"/>
      <c r="D1292" s="35"/>
      <c r="E1292" s="35"/>
      <c r="F1292" s="35"/>
      <c r="G1292" s="35"/>
      <c r="H1292" s="35"/>
      <c r="I1292" s="36">
        <f>J1288+J1289+J1290</f>
        <v>4070.5699999999997</v>
      </c>
      <c r="J1292" s="36"/>
      <c r="K1292" s="37">
        <f>IF([1]Source!I1397&lt;&gt;0, ROUND(I1292/[1]Source!I1397, 2), 0)</f>
        <v>319.54000000000002</v>
      </c>
      <c r="M1292"/>
      <c r="N1292"/>
      <c r="O1292"/>
      <c r="P1292"/>
      <c r="Q1292"/>
      <c r="AA1292" s="38">
        <f>I1292</f>
        <v>4070.5699999999997</v>
      </c>
    </row>
    <row r="1293" spans="1:33" ht="57" x14ac:dyDescent="0.2">
      <c r="A1293" s="31">
        <v>183</v>
      </c>
      <c r="B1293" s="31" t="str">
        <f>[1]Source!F1398</f>
        <v>5.3-1102-26-1/1</v>
      </c>
      <c r="C1293" s="31" t="str">
        <f>[1]Source!G1398</f>
        <v>Очистка лотков с решетками от снега, сечение лотка 100 см2, количество креплений решеток 20 шт.(  сечение  175 см2)</v>
      </c>
      <c r="D1293" s="32" t="str">
        <f>[1]Source!H1398</f>
        <v>10 м</v>
      </c>
      <c r="E1293" s="4">
        <f>[1]Source!I1398</f>
        <v>11.05</v>
      </c>
      <c r="F1293" s="33"/>
      <c r="G1293" s="34"/>
      <c r="H1293" s="4"/>
      <c r="I1293" s="4"/>
      <c r="J1293" s="33"/>
      <c r="K1293" s="33"/>
      <c r="M1293"/>
      <c r="N1293"/>
      <c r="O1293"/>
      <c r="P1293"/>
      <c r="Q1293"/>
      <c r="AB1293">
        <f>ROUND(([1]Source!BZ1398/100)*ROUND(([1]Source!AF1398*[1]Source!AV1398)*[1]Source!I1398, 2), 2)</f>
        <v>31747.53</v>
      </c>
      <c r="AC1293">
        <f>[1]Source!X1398</f>
        <v>31747.53</v>
      </c>
      <c r="AD1293">
        <f>ROUND(([1]Source!CA1398/100)*ROUND(([1]Source!AF1398*[1]Source!AV1398)*[1]Source!I1398, 2), 2)</f>
        <v>4535.3599999999997</v>
      </c>
      <c r="AE1293">
        <f>[1]Source!Y1398</f>
        <v>4535.3599999999997</v>
      </c>
      <c r="AF1293">
        <f>ROUND((175/100)*ROUND(([1]Source!AE1398*[1]Source!AV1398)*[1]Source!I1398, 2), 2)</f>
        <v>0</v>
      </c>
      <c r="AG1293">
        <f>ROUND((108/100)*ROUND([1]Source!CS1398*[1]Source!I1398, 2), 2)</f>
        <v>0</v>
      </c>
    </row>
    <row r="1294" spans="1:33" x14ac:dyDescent="0.2">
      <c r="C1294" s="40" t="str">
        <f>"Объем: "&amp;[1]Source!I1398&amp;"=110,5/"&amp;"10"</f>
        <v>Объем: 11,05=110,5/10</v>
      </c>
      <c r="M1294"/>
      <c r="N1294"/>
      <c r="O1294"/>
      <c r="P1294"/>
      <c r="Q1294"/>
    </row>
    <row r="1295" spans="1:33" ht="14.25" x14ac:dyDescent="0.2">
      <c r="A1295" s="31"/>
      <c r="B1295" s="31"/>
      <c r="C1295" s="31" t="s">
        <v>34</v>
      </c>
      <c r="D1295" s="32"/>
      <c r="E1295" s="4"/>
      <c r="F1295" s="33">
        <f>[1]Source!AO1398</f>
        <v>205.22</v>
      </c>
      <c r="G1295" s="34" t="str">
        <f>[1]Source!DG1398</f>
        <v>)*1*20</v>
      </c>
      <c r="H1295" s="4">
        <f>[1]Source!AV1398</f>
        <v>1</v>
      </c>
      <c r="I1295" s="4">
        <f>IF([1]Source!BA1398&lt;&gt; 0, [1]Source!BA1398, 1)</f>
        <v>1</v>
      </c>
      <c r="J1295" s="33">
        <f>[1]Source!S1398</f>
        <v>45353.62</v>
      </c>
      <c r="K1295" s="33"/>
      <c r="M1295"/>
      <c r="N1295"/>
      <c r="O1295"/>
      <c r="P1295"/>
      <c r="Q1295"/>
    </row>
    <row r="1296" spans="1:33" ht="14.25" x14ac:dyDescent="0.2">
      <c r="A1296" s="31"/>
      <c r="B1296" s="31"/>
      <c r="C1296" s="31" t="s">
        <v>40</v>
      </c>
      <c r="D1296" s="32" t="s">
        <v>39</v>
      </c>
      <c r="E1296" s="4">
        <f>[1]Source!AT1398</f>
        <v>70</v>
      </c>
      <c r="F1296" s="33"/>
      <c r="G1296" s="34"/>
      <c r="H1296" s="4"/>
      <c r="I1296" s="4"/>
      <c r="J1296" s="33">
        <f>SUM(AC1293:AC1295)</f>
        <v>31747.53</v>
      </c>
      <c r="K1296" s="33"/>
      <c r="M1296"/>
      <c r="N1296"/>
      <c r="O1296"/>
      <c r="P1296"/>
      <c r="Q1296"/>
    </row>
    <row r="1297" spans="1:33" ht="14.25" x14ac:dyDescent="0.2">
      <c r="A1297" s="31"/>
      <c r="B1297" s="31"/>
      <c r="C1297" s="31" t="s">
        <v>41</v>
      </c>
      <c r="D1297" s="32" t="s">
        <v>39</v>
      </c>
      <c r="E1297" s="4">
        <f>[1]Source!AU1398</f>
        <v>10</v>
      </c>
      <c r="F1297" s="33"/>
      <c r="G1297" s="34"/>
      <c r="H1297" s="4"/>
      <c r="I1297" s="4"/>
      <c r="J1297" s="33">
        <f>SUM(AE1293:AE1296)</f>
        <v>4535.3599999999997</v>
      </c>
      <c r="K1297" s="33"/>
      <c r="M1297"/>
      <c r="N1297"/>
      <c r="O1297"/>
      <c r="P1297"/>
      <c r="Q1297"/>
    </row>
    <row r="1298" spans="1:33" ht="14.25" x14ac:dyDescent="0.2">
      <c r="A1298" s="31"/>
      <c r="B1298" s="31"/>
      <c r="C1298" s="31" t="s">
        <v>42</v>
      </c>
      <c r="D1298" s="32" t="s">
        <v>43</v>
      </c>
      <c r="E1298" s="4">
        <f>[1]Source!AQ1398</f>
        <v>0.74</v>
      </c>
      <c r="F1298" s="33"/>
      <c r="G1298" s="34" t="str">
        <f>[1]Source!DI1398</f>
        <v>)*1*20</v>
      </c>
      <c r="H1298" s="4">
        <f>[1]Source!AV1398</f>
        <v>1</v>
      </c>
      <c r="I1298" s="4"/>
      <c r="J1298" s="33"/>
      <c r="K1298" s="33">
        <f>[1]Source!U1398</f>
        <v>163.54000000000002</v>
      </c>
      <c r="M1298"/>
      <c r="N1298"/>
      <c r="O1298"/>
      <c r="P1298"/>
      <c r="Q1298"/>
    </row>
    <row r="1299" spans="1:33" ht="15" x14ac:dyDescent="0.25">
      <c r="A1299" s="35"/>
      <c r="B1299" s="35"/>
      <c r="C1299" s="35"/>
      <c r="D1299" s="35"/>
      <c r="E1299" s="35"/>
      <c r="F1299" s="35"/>
      <c r="G1299" s="35"/>
      <c r="H1299" s="35"/>
      <c r="I1299" s="36">
        <f>J1295+J1296+J1297</f>
        <v>81636.509999999995</v>
      </c>
      <c r="J1299" s="36"/>
      <c r="K1299" s="37">
        <f>IF([1]Source!I1398&lt;&gt;0, ROUND(I1299/[1]Source!I1398, 2), 0)</f>
        <v>7387.92</v>
      </c>
      <c r="M1299"/>
      <c r="N1299"/>
      <c r="O1299"/>
      <c r="P1299"/>
      <c r="Q1299"/>
      <c r="AA1299" s="38">
        <f>I1299</f>
        <v>81636.509999999995</v>
      </c>
    </row>
    <row r="1300" spans="1:33" ht="42.75" x14ac:dyDescent="0.2">
      <c r="A1300" s="31">
        <v>184</v>
      </c>
      <c r="B1300" s="31" t="str">
        <f>[1]Source!F1399</f>
        <v>5.3-1102-26-2/1</v>
      </c>
      <c r="C1300" s="31" t="str">
        <f>[1]Source!G1399</f>
        <v>Очистка лотков с решетками от снега, добавлять к 3-1102-26-1 на каждые 100 см2 изменения сечения лотка</v>
      </c>
      <c r="D1300" s="32" t="str">
        <f>[1]Source!H1399</f>
        <v>10 м</v>
      </c>
      <c r="E1300" s="4">
        <f>[1]Source!I1399</f>
        <v>11.05</v>
      </c>
      <c r="F1300" s="33"/>
      <c r="G1300" s="34"/>
      <c r="H1300" s="4"/>
      <c r="I1300" s="4"/>
      <c r="J1300" s="33"/>
      <c r="K1300" s="33"/>
      <c r="M1300"/>
      <c r="N1300"/>
      <c r="O1300"/>
      <c r="P1300"/>
      <c r="Q1300"/>
      <c r="AB1300">
        <f>ROUND(([1]Source!BZ1399/100)*ROUND(([1]Source!AF1399*[1]Source!AV1399)*[1]Source!I1399, 2), 2)</f>
        <v>2574.59</v>
      </c>
      <c r="AC1300">
        <f>[1]Source!X1399</f>
        <v>2574.59</v>
      </c>
      <c r="AD1300">
        <f>ROUND(([1]Source!CA1399/100)*ROUND(([1]Source!AF1399*[1]Source!AV1399)*[1]Source!I1399, 2), 2)</f>
        <v>367.8</v>
      </c>
      <c r="AE1300">
        <f>[1]Source!Y1399</f>
        <v>367.8</v>
      </c>
      <c r="AF1300">
        <f>ROUND((175/100)*ROUND(([1]Source!AE1399*[1]Source!AV1399)*[1]Source!I1399, 2), 2)</f>
        <v>0</v>
      </c>
      <c r="AG1300">
        <f>ROUND((108/100)*ROUND([1]Source!CS1399*[1]Source!I1399, 2), 2)</f>
        <v>0</v>
      </c>
    </row>
    <row r="1301" spans="1:33" x14ac:dyDescent="0.2">
      <c r="C1301" s="40" t="str">
        <f>"Объем: "&amp;[1]Source!I1399&amp;"=110,5/"&amp;"10"</f>
        <v>Объем: 11,05=110,5/10</v>
      </c>
      <c r="M1301"/>
      <c r="N1301"/>
      <c r="O1301"/>
      <c r="P1301"/>
      <c r="Q1301"/>
    </row>
    <row r="1302" spans="1:33" ht="14.25" x14ac:dyDescent="0.2">
      <c r="A1302" s="31"/>
      <c r="B1302" s="31"/>
      <c r="C1302" s="31" t="s">
        <v>34</v>
      </c>
      <c r="D1302" s="32"/>
      <c r="E1302" s="4"/>
      <c r="F1302" s="33">
        <f>[1]Source!AO1399</f>
        <v>22.19</v>
      </c>
      <c r="G1302" s="34" t="str">
        <f>[1]Source!DG1399</f>
        <v>)*1*0,75*20</v>
      </c>
      <c r="H1302" s="4">
        <f>[1]Source!AV1399</f>
        <v>1</v>
      </c>
      <c r="I1302" s="4">
        <f>IF([1]Source!BA1399&lt;&gt; 0, [1]Source!BA1399, 1)</f>
        <v>1</v>
      </c>
      <c r="J1302" s="33">
        <f>[1]Source!S1399</f>
        <v>3677.99</v>
      </c>
      <c r="K1302" s="33"/>
      <c r="M1302"/>
      <c r="N1302"/>
      <c r="O1302"/>
      <c r="P1302"/>
      <c r="Q1302"/>
    </row>
    <row r="1303" spans="1:33" ht="14.25" x14ac:dyDescent="0.2">
      <c r="A1303" s="31"/>
      <c r="B1303" s="31"/>
      <c r="C1303" s="31" t="s">
        <v>40</v>
      </c>
      <c r="D1303" s="32" t="s">
        <v>39</v>
      </c>
      <c r="E1303" s="4">
        <f>[1]Source!AT1399</f>
        <v>70</v>
      </c>
      <c r="F1303" s="33"/>
      <c r="G1303" s="34"/>
      <c r="H1303" s="4"/>
      <c r="I1303" s="4"/>
      <c r="J1303" s="33">
        <f>SUM(AC1300:AC1302)</f>
        <v>2574.59</v>
      </c>
      <c r="K1303" s="33"/>
      <c r="M1303"/>
      <c r="N1303"/>
      <c r="O1303"/>
      <c r="P1303"/>
      <c r="Q1303"/>
    </row>
    <row r="1304" spans="1:33" ht="14.25" x14ac:dyDescent="0.2">
      <c r="A1304" s="31"/>
      <c r="B1304" s="31"/>
      <c r="C1304" s="31" t="s">
        <v>41</v>
      </c>
      <c r="D1304" s="32" t="s">
        <v>39</v>
      </c>
      <c r="E1304" s="4">
        <f>[1]Source!AU1399</f>
        <v>10</v>
      </c>
      <c r="F1304" s="33"/>
      <c r="G1304" s="34"/>
      <c r="H1304" s="4"/>
      <c r="I1304" s="4"/>
      <c r="J1304" s="33">
        <f>SUM(AE1300:AE1303)</f>
        <v>367.8</v>
      </c>
      <c r="K1304" s="33"/>
      <c r="M1304"/>
      <c r="N1304"/>
      <c r="O1304"/>
      <c r="P1304"/>
      <c r="Q1304"/>
    </row>
    <row r="1305" spans="1:33" ht="14.25" x14ac:dyDescent="0.2">
      <c r="A1305" s="31"/>
      <c r="B1305" s="31"/>
      <c r="C1305" s="31" t="s">
        <v>42</v>
      </c>
      <c r="D1305" s="32" t="s">
        <v>43</v>
      </c>
      <c r="E1305" s="4">
        <f>[1]Source!AQ1399</f>
        <v>0.08</v>
      </c>
      <c r="F1305" s="33"/>
      <c r="G1305" s="34" t="str">
        <f>[1]Source!DI1399</f>
        <v>)*1*0,75*20</v>
      </c>
      <c r="H1305" s="4">
        <f>[1]Source!AV1399</f>
        <v>1</v>
      </c>
      <c r="I1305" s="4"/>
      <c r="J1305" s="33"/>
      <c r="K1305" s="33">
        <f>[1]Source!U1399</f>
        <v>13.26</v>
      </c>
      <c r="M1305"/>
      <c r="N1305"/>
      <c r="O1305"/>
      <c r="P1305"/>
      <c r="Q1305"/>
    </row>
    <row r="1306" spans="1:33" ht="15" x14ac:dyDescent="0.25">
      <c r="A1306" s="35"/>
      <c r="B1306" s="35"/>
      <c r="C1306" s="35"/>
      <c r="D1306" s="35"/>
      <c r="E1306" s="35"/>
      <c r="F1306" s="35"/>
      <c r="G1306" s="35"/>
      <c r="H1306" s="35"/>
      <c r="I1306" s="36">
        <f>J1302+J1303+J1304</f>
        <v>6620.38</v>
      </c>
      <c r="J1306" s="36"/>
      <c r="K1306" s="37">
        <f>IF([1]Source!I1399&lt;&gt;0, ROUND(I1306/[1]Source!I1399, 2), 0)</f>
        <v>599.13</v>
      </c>
      <c r="M1306"/>
      <c r="N1306"/>
      <c r="O1306"/>
      <c r="P1306"/>
      <c r="Q1306"/>
      <c r="AA1306" s="38">
        <f>I1306</f>
        <v>6620.38</v>
      </c>
    </row>
    <row r="1307" spans="1:33" ht="57" x14ac:dyDescent="0.2">
      <c r="A1307" s="31">
        <v>185</v>
      </c>
      <c r="B1307" s="31" t="str">
        <f>[1]Source!F1400</f>
        <v>5.3-1102-26-1/1</v>
      </c>
      <c r="C1307" s="31" t="str">
        <f>[1]Source!G1400</f>
        <v>Очистка лотков с решетками от снега, сечение лотка 100 см2, количество креплений решеток 20 шт.(  сечение 187.5 см2 )</v>
      </c>
      <c r="D1307" s="32" t="str">
        <f>[1]Source!H1400</f>
        <v>10 м</v>
      </c>
      <c r="E1307" s="4">
        <f>[1]Source!I1400</f>
        <v>7.69</v>
      </c>
      <c r="F1307" s="33"/>
      <c r="G1307" s="34"/>
      <c r="H1307" s="4"/>
      <c r="I1307" s="4"/>
      <c r="J1307" s="33"/>
      <c r="K1307" s="33"/>
      <c r="M1307"/>
      <c r="N1307"/>
      <c r="O1307"/>
      <c r="P1307"/>
      <c r="Q1307"/>
      <c r="AB1307">
        <f>ROUND(([1]Source!BZ1400/100)*ROUND(([1]Source!AF1400*[1]Source!AV1400)*[1]Source!I1400, 2), 2)</f>
        <v>22093.99</v>
      </c>
      <c r="AC1307">
        <f>[1]Source!X1400</f>
        <v>22093.99</v>
      </c>
      <c r="AD1307">
        <f>ROUND(([1]Source!CA1400/100)*ROUND(([1]Source!AF1400*[1]Source!AV1400)*[1]Source!I1400, 2), 2)</f>
        <v>3156.28</v>
      </c>
      <c r="AE1307">
        <f>[1]Source!Y1400</f>
        <v>3156.28</v>
      </c>
      <c r="AF1307">
        <f>ROUND((175/100)*ROUND(([1]Source!AE1400*[1]Source!AV1400)*[1]Source!I1400, 2), 2)</f>
        <v>0</v>
      </c>
      <c r="AG1307">
        <f>ROUND((108/100)*ROUND([1]Source!CS1400*[1]Source!I1400, 2), 2)</f>
        <v>0</v>
      </c>
    </row>
    <row r="1308" spans="1:33" x14ac:dyDescent="0.2">
      <c r="C1308" s="40" t="str">
        <f>"Объем: "&amp;[1]Source!I1400&amp;"=76,9/"&amp;"10"</f>
        <v>Объем: 7,69=76,9/10</v>
      </c>
      <c r="M1308"/>
      <c r="N1308"/>
      <c r="O1308"/>
      <c r="P1308"/>
      <c r="Q1308"/>
    </row>
    <row r="1309" spans="1:33" ht="14.25" x14ac:dyDescent="0.2">
      <c r="A1309" s="31"/>
      <c r="B1309" s="31"/>
      <c r="C1309" s="31" t="s">
        <v>34</v>
      </c>
      <c r="D1309" s="32"/>
      <c r="E1309" s="4"/>
      <c r="F1309" s="33">
        <f>[1]Source!AO1400</f>
        <v>205.22</v>
      </c>
      <c r="G1309" s="34" t="str">
        <f>[1]Source!DG1400</f>
        <v>)*1*20</v>
      </c>
      <c r="H1309" s="4">
        <f>[1]Source!AV1400</f>
        <v>1</v>
      </c>
      <c r="I1309" s="4">
        <f>IF([1]Source!BA1400&lt;&gt; 0, [1]Source!BA1400, 1)</f>
        <v>1</v>
      </c>
      <c r="J1309" s="33">
        <f>[1]Source!S1400</f>
        <v>31562.84</v>
      </c>
      <c r="K1309" s="33"/>
      <c r="M1309"/>
      <c r="N1309"/>
      <c r="O1309"/>
      <c r="P1309"/>
      <c r="Q1309"/>
    </row>
    <row r="1310" spans="1:33" ht="14.25" x14ac:dyDescent="0.2">
      <c r="A1310" s="31"/>
      <c r="B1310" s="31"/>
      <c r="C1310" s="31" t="s">
        <v>40</v>
      </c>
      <c r="D1310" s="32" t="s">
        <v>39</v>
      </c>
      <c r="E1310" s="4">
        <f>[1]Source!AT1400</f>
        <v>70</v>
      </c>
      <c r="F1310" s="33"/>
      <c r="G1310" s="34"/>
      <c r="H1310" s="4"/>
      <c r="I1310" s="4"/>
      <c r="J1310" s="33">
        <f>SUM(AC1307:AC1309)</f>
        <v>22093.99</v>
      </c>
      <c r="K1310" s="33"/>
      <c r="M1310"/>
      <c r="N1310"/>
      <c r="O1310"/>
      <c r="P1310"/>
      <c r="Q1310"/>
    </row>
    <row r="1311" spans="1:33" ht="14.25" x14ac:dyDescent="0.2">
      <c r="A1311" s="31"/>
      <c r="B1311" s="31"/>
      <c r="C1311" s="31" t="s">
        <v>41</v>
      </c>
      <c r="D1311" s="32" t="s">
        <v>39</v>
      </c>
      <c r="E1311" s="4">
        <f>[1]Source!AU1400</f>
        <v>10</v>
      </c>
      <c r="F1311" s="33"/>
      <c r="G1311" s="34"/>
      <c r="H1311" s="4"/>
      <c r="I1311" s="4"/>
      <c r="J1311" s="33">
        <f>SUM(AE1307:AE1310)</f>
        <v>3156.28</v>
      </c>
      <c r="K1311" s="33"/>
      <c r="M1311"/>
      <c r="N1311"/>
      <c r="O1311"/>
      <c r="P1311"/>
      <c r="Q1311"/>
    </row>
    <row r="1312" spans="1:33" ht="14.25" x14ac:dyDescent="0.2">
      <c r="A1312" s="31"/>
      <c r="B1312" s="31"/>
      <c r="C1312" s="31" t="s">
        <v>42</v>
      </c>
      <c r="D1312" s="32" t="s">
        <v>43</v>
      </c>
      <c r="E1312" s="4">
        <f>[1]Source!AQ1400</f>
        <v>0.74</v>
      </c>
      <c r="F1312" s="33"/>
      <c r="G1312" s="34" t="str">
        <f>[1]Source!DI1400</f>
        <v>)*1*20</v>
      </c>
      <c r="H1312" s="4">
        <f>[1]Source!AV1400</f>
        <v>1</v>
      </c>
      <c r="I1312" s="4"/>
      <c r="J1312" s="33"/>
      <c r="K1312" s="33">
        <f>[1]Source!U1400</f>
        <v>113.81200000000001</v>
      </c>
      <c r="M1312"/>
      <c r="N1312"/>
      <c r="O1312"/>
      <c r="P1312"/>
      <c r="Q1312"/>
    </row>
    <row r="1313" spans="1:33" ht="15" x14ac:dyDescent="0.25">
      <c r="A1313" s="35"/>
      <c r="B1313" s="35"/>
      <c r="C1313" s="35"/>
      <c r="D1313" s="35"/>
      <c r="E1313" s="35"/>
      <c r="F1313" s="35"/>
      <c r="G1313" s="35"/>
      <c r="H1313" s="35"/>
      <c r="I1313" s="36">
        <f>J1309+J1310+J1311</f>
        <v>56813.11</v>
      </c>
      <c r="J1313" s="36"/>
      <c r="K1313" s="37">
        <f>IF([1]Source!I1400&lt;&gt;0, ROUND(I1313/[1]Source!I1400, 2), 0)</f>
        <v>7387.92</v>
      </c>
      <c r="M1313"/>
      <c r="N1313"/>
      <c r="O1313"/>
      <c r="P1313"/>
      <c r="Q1313"/>
      <c r="AA1313" s="38">
        <f>I1313</f>
        <v>56813.11</v>
      </c>
    </row>
    <row r="1314" spans="1:33" ht="42.75" x14ac:dyDescent="0.2">
      <c r="A1314" s="31">
        <v>186</v>
      </c>
      <c r="B1314" s="31" t="str">
        <f>[1]Source!F1401</f>
        <v>5.3-1102-26-2/1</v>
      </c>
      <c r="C1314" s="31" t="str">
        <f>[1]Source!G1401</f>
        <v>Очистка лотков с решетками от снега, добавлять к 3-1102-26-1 на каждые 100 см2 изменения сечения лотка</v>
      </c>
      <c r="D1314" s="32" t="str">
        <f>[1]Source!H1401</f>
        <v>10 м</v>
      </c>
      <c r="E1314" s="4">
        <f>[1]Source!I1401</f>
        <v>7.69</v>
      </c>
      <c r="F1314" s="33"/>
      <c r="G1314" s="34"/>
      <c r="H1314" s="4"/>
      <c r="I1314" s="4"/>
      <c r="J1314" s="33"/>
      <c r="K1314" s="33"/>
      <c r="M1314"/>
      <c r="N1314"/>
      <c r="O1314"/>
      <c r="P1314"/>
      <c r="Q1314"/>
      <c r="AB1314">
        <f>ROUND(([1]Source!BZ1401/100)*ROUND(([1]Source!AF1401*[1]Source!AV1401)*[1]Source!I1401, 2), 2)</f>
        <v>2090.35</v>
      </c>
      <c r="AC1314">
        <f>[1]Source!X1401</f>
        <v>2090.35</v>
      </c>
      <c r="AD1314">
        <f>ROUND(([1]Source!CA1401/100)*ROUND(([1]Source!AF1401*[1]Source!AV1401)*[1]Source!I1401, 2), 2)</f>
        <v>298.62</v>
      </c>
      <c r="AE1314">
        <f>[1]Source!Y1401</f>
        <v>298.62</v>
      </c>
      <c r="AF1314">
        <f>ROUND((175/100)*ROUND(([1]Source!AE1401*[1]Source!AV1401)*[1]Source!I1401, 2), 2)</f>
        <v>0</v>
      </c>
      <c r="AG1314">
        <f>ROUND((108/100)*ROUND([1]Source!CS1401*[1]Source!I1401, 2), 2)</f>
        <v>0</v>
      </c>
    </row>
    <row r="1315" spans="1:33" x14ac:dyDescent="0.2">
      <c r="C1315" s="40" t="str">
        <f>"Объем: "&amp;[1]Source!I1401&amp;"=76,9/"&amp;"10"</f>
        <v>Объем: 7,69=76,9/10</v>
      </c>
      <c r="M1315"/>
      <c r="N1315"/>
      <c r="O1315"/>
      <c r="P1315"/>
      <c r="Q1315"/>
    </row>
    <row r="1316" spans="1:33" ht="28.5" x14ac:dyDescent="0.2">
      <c r="A1316" s="31"/>
      <c r="B1316" s="31"/>
      <c r="C1316" s="31" t="s">
        <v>34</v>
      </c>
      <c r="D1316" s="32"/>
      <c r="E1316" s="4"/>
      <c r="F1316" s="33">
        <f>[1]Source!AO1401</f>
        <v>22.19</v>
      </c>
      <c r="G1316" s="34" t="str">
        <f>[1]Source!DG1401</f>
        <v>)*1*0,875*20</v>
      </c>
      <c r="H1316" s="4">
        <f>[1]Source!AV1401</f>
        <v>1</v>
      </c>
      <c r="I1316" s="4">
        <f>IF([1]Source!BA1401&lt;&gt; 0, [1]Source!BA1401, 1)</f>
        <v>1</v>
      </c>
      <c r="J1316" s="33">
        <f>[1]Source!S1401</f>
        <v>2986.22</v>
      </c>
      <c r="K1316" s="33"/>
      <c r="M1316"/>
      <c r="N1316"/>
      <c r="O1316"/>
      <c r="P1316"/>
      <c r="Q1316"/>
    </row>
    <row r="1317" spans="1:33" ht="14.25" x14ac:dyDescent="0.2">
      <c r="A1317" s="31"/>
      <c r="B1317" s="31"/>
      <c r="C1317" s="31" t="s">
        <v>40</v>
      </c>
      <c r="D1317" s="32" t="s">
        <v>39</v>
      </c>
      <c r="E1317" s="4">
        <f>[1]Source!AT1401</f>
        <v>70</v>
      </c>
      <c r="F1317" s="33"/>
      <c r="G1317" s="34"/>
      <c r="H1317" s="4"/>
      <c r="I1317" s="4"/>
      <c r="J1317" s="33">
        <f>SUM(AC1314:AC1316)</f>
        <v>2090.35</v>
      </c>
      <c r="K1317" s="33"/>
      <c r="M1317"/>
      <c r="N1317"/>
      <c r="O1317"/>
      <c r="P1317"/>
      <c r="Q1317"/>
    </row>
    <row r="1318" spans="1:33" ht="14.25" x14ac:dyDescent="0.2">
      <c r="A1318" s="31"/>
      <c r="B1318" s="31"/>
      <c r="C1318" s="31" t="s">
        <v>41</v>
      </c>
      <c r="D1318" s="32" t="s">
        <v>39</v>
      </c>
      <c r="E1318" s="4">
        <f>[1]Source!AU1401</f>
        <v>10</v>
      </c>
      <c r="F1318" s="33"/>
      <c r="G1318" s="34"/>
      <c r="H1318" s="4"/>
      <c r="I1318" s="4"/>
      <c r="J1318" s="33">
        <f>SUM(AE1314:AE1317)</f>
        <v>298.62</v>
      </c>
      <c r="K1318" s="33"/>
      <c r="M1318"/>
      <c r="N1318"/>
      <c r="O1318"/>
      <c r="P1318"/>
      <c r="Q1318"/>
    </row>
    <row r="1319" spans="1:33" ht="28.5" x14ac:dyDescent="0.2">
      <c r="A1319" s="31"/>
      <c r="B1319" s="31"/>
      <c r="C1319" s="31" t="s">
        <v>42</v>
      </c>
      <c r="D1319" s="32" t="s">
        <v>43</v>
      </c>
      <c r="E1319" s="4">
        <f>[1]Source!AQ1401</f>
        <v>0.08</v>
      </c>
      <c r="F1319" s="33"/>
      <c r="G1319" s="34" t="str">
        <f>[1]Source!DI1401</f>
        <v>)*1*0,875*20</v>
      </c>
      <c r="H1319" s="4">
        <f>[1]Source!AV1401</f>
        <v>1</v>
      </c>
      <c r="I1319" s="4"/>
      <c r="J1319" s="33"/>
      <c r="K1319" s="33">
        <f>[1]Source!U1401</f>
        <v>10.766000000000002</v>
      </c>
      <c r="M1319"/>
      <c r="N1319"/>
      <c r="O1319"/>
      <c r="P1319"/>
      <c r="Q1319"/>
    </row>
    <row r="1320" spans="1:33" ht="15" x14ac:dyDescent="0.25">
      <c r="A1320" s="35"/>
      <c r="B1320" s="35"/>
      <c r="C1320" s="35"/>
      <c r="D1320" s="35"/>
      <c r="E1320" s="35"/>
      <c r="F1320" s="35"/>
      <c r="G1320" s="35"/>
      <c r="H1320" s="35"/>
      <c r="I1320" s="36">
        <f>J1316+J1317+J1318</f>
        <v>5375.19</v>
      </c>
      <c r="J1320" s="36"/>
      <c r="K1320" s="37">
        <f>IF([1]Source!I1401&lt;&gt;0, ROUND(I1320/[1]Source!I1401, 2), 0)</f>
        <v>698.98</v>
      </c>
      <c r="M1320"/>
      <c r="N1320"/>
      <c r="O1320"/>
      <c r="P1320"/>
      <c r="Q1320"/>
      <c r="AA1320" s="38">
        <f>I1320</f>
        <v>5375.19</v>
      </c>
    </row>
    <row r="1321" spans="1:33" ht="57" x14ac:dyDescent="0.2">
      <c r="A1321" s="31">
        <v>187</v>
      </c>
      <c r="B1321" s="31" t="str">
        <f>[1]Source!F1402</f>
        <v>5.3-1102-26-1/1</v>
      </c>
      <c r="C1321" s="31" t="str">
        <f>[1]Source!G1402</f>
        <v>Очистка лотков с решетками от снега, сечение лотка 100 см2, количество креплений решеток 20 шт.( сечение 224 см2)</v>
      </c>
      <c r="D1321" s="32" t="str">
        <f>[1]Source!H1402</f>
        <v>10 м</v>
      </c>
      <c r="E1321" s="4">
        <f>[1]Source!I1402</f>
        <v>1.514</v>
      </c>
      <c r="F1321" s="33"/>
      <c r="G1321" s="34"/>
      <c r="H1321" s="4"/>
      <c r="I1321" s="4"/>
      <c r="J1321" s="33"/>
      <c r="K1321" s="33"/>
      <c r="M1321"/>
      <c r="N1321"/>
      <c r="O1321"/>
      <c r="P1321"/>
      <c r="Q1321"/>
      <c r="AB1321">
        <f>ROUND(([1]Source!BZ1402/100)*ROUND(([1]Source!AF1402*[1]Source!AV1402)*[1]Source!I1402, 2), 2)</f>
        <v>4349.84</v>
      </c>
      <c r="AC1321">
        <f>[1]Source!X1402</f>
        <v>4349.84</v>
      </c>
      <c r="AD1321">
        <f>ROUND(([1]Source!CA1402/100)*ROUND(([1]Source!AF1402*[1]Source!AV1402)*[1]Source!I1402, 2), 2)</f>
        <v>621.41</v>
      </c>
      <c r="AE1321">
        <f>[1]Source!Y1402</f>
        <v>621.41</v>
      </c>
      <c r="AF1321">
        <f>ROUND((175/100)*ROUND(([1]Source!AE1402*[1]Source!AV1402)*[1]Source!I1402, 2), 2)</f>
        <v>0</v>
      </c>
      <c r="AG1321">
        <f>ROUND((108/100)*ROUND([1]Source!CS1402*[1]Source!I1402, 2), 2)</f>
        <v>0</v>
      </c>
    </row>
    <row r="1322" spans="1:33" x14ac:dyDescent="0.2">
      <c r="C1322" s="40" t="str">
        <f>"Объем: "&amp;[1]Source!I1402&amp;"=15,14/"&amp;"10"</f>
        <v>Объем: 1,514=15,14/10</v>
      </c>
      <c r="M1322"/>
      <c r="N1322"/>
      <c r="O1322"/>
      <c r="P1322"/>
      <c r="Q1322"/>
    </row>
    <row r="1323" spans="1:33" ht="14.25" x14ac:dyDescent="0.2">
      <c r="A1323" s="31"/>
      <c r="B1323" s="31"/>
      <c r="C1323" s="31" t="s">
        <v>34</v>
      </c>
      <c r="D1323" s="32"/>
      <c r="E1323" s="4"/>
      <c r="F1323" s="33">
        <f>[1]Source!AO1402</f>
        <v>205.22</v>
      </c>
      <c r="G1323" s="34" t="str">
        <f>[1]Source!DG1402</f>
        <v>)*1*20</v>
      </c>
      <c r="H1323" s="4">
        <f>[1]Source!AV1402</f>
        <v>1</v>
      </c>
      <c r="I1323" s="4">
        <f>IF([1]Source!BA1402&lt;&gt; 0, [1]Source!BA1402, 1)</f>
        <v>1</v>
      </c>
      <c r="J1323" s="33">
        <f>[1]Source!S1402</f>
        <v>6214.06</v>
      </c>
      <c r="K1323" s="33"/>
      <c r="M1323"/>
      <c r="N1323"/>
      <c r="O1323"/>
      <c r="P1323"/>
      <c r="Q1323"/>
    </row>
    <row r="1324" spans="1:33" ht="14.25" x14ac:dyDescent="0.2">
      <c r="A1324" s="31"/>
      <c r="B1324" s="31"/>
      <c r="C1324" s="31" t="s">
        <v>40</v>
      </c>
      <c r="D1324" s="32" t="s">
        <v>39</v>
      </c>
      <c r="E1324" s="4">
        <f>[1]Source!AT1402</f>
        <v>70</v>
      </c>
      <c r="F1324" s="33"/>
      <c r="G1324" s="34"/>
      <c r="H1324" s="4"/>
      <c r="I1324" s="4"/>
      <c r="J1324" s="33">
        <f>SUM(AC1321:AC1323)</f>
        <v>4349.84</v>
      </c>
      <c r="K1324" s="33"/>
      <c r="M1324"/>
      <c r="N1324"/>
      <c r="O1324"/>
      <c r="P1324"/>
      <c r="Q1324"/>
    </row>
    <row r="1325" spans="1:33" ht="14.25" x14ac:dyDescent="0.2">
      <c r="A1325" s="31"/>
      <c r="B1325" s="31"/>
      <c r="C1325" s="31" t="s">
        <v>41</v>
      </c>
      <c r="D1325" s="32" t="s">
        <v>39</v>
      </c>
      <c r="E1325" s="4">
        <f>[1]Source!AU1402</f>
        <v>10</v>
      </c>
      <c r="F1325" s="33"/>
      <c r="G1325" s="34"/>
      <c r="H1325" s="4"/>
      <c r="I1325" s="4"/>
      <c r="J1325" s="33">
        <f>SUM(AE1321:AE1324)</f>
        <v>621.41</v>
      </c>
      <c r="K1325" s="33"/>
      <c r="M1325"/>
      <c r="N1325"/>
      <c r="O1325"/>
      <c r="P1325"/>
      <c r="Q1325"/>
    </row>
    <row r="1326" spans="1:33" ht="14.25" x14ac:dyDescent="0.2">
      <c r="A1326" s="31"/>
      <c r="B1326" s="31"/>
      <c r="C1326" s="31" t="s">
        <v>42</v>
      </c>
      <c r="D1326" s="32" t="s">
        <v>43</v>
      </c>
      <c r="E1326" s="4">
        <f>[1]Source!AQ1402</f>
        <v>0.74</v>
      </c>
      <c r="F1326" s="33"/>
      <c r="G1326" s="34" t="str">
        <f>[1]Source!DI1402</f>
        <v>)*1*20</v>
      </c>
      <c r="H1326" s="4">
        <f>[1]Source!AV1402</f>
        <v>1</v>
      </c>
      <c r="I1326" s="4"/>
      <c r="J1326" s="33"/>
      <c r="K1326" s="33">
        <f>[1]Source!U1402</f>
        <v>22.4072</v>
      </c>
      <c r="M1326"/>
      <c r="N1326"/>
      <c r="O1326"/>
      <c r="P1326"/>
      <c r="Q1326"/>
    </row>
    <row r="1327" spans="1:33" ht="15" x14ac:dyDescent="0.25">
      <c r="A1327" s="35"/>
      <c r="B1327" s="35"/>
      <c r="C1327" s="35"/>
      <c r="D1327" s="35"/>
      <c r="E1327" s="35"/>
      <c r="F1327" s="35"/>
      <c r="G1327" s="35"/>
      <c r="H1327" s="35"/>
      <c r="I1327" s="36">
        <f>J1323+J1324+J1325</f>
        <v>11185.310000000001</v>
      </c>
      <c r="J1327" s="36"/>
      <c r="K1327" s="37">
        <f>IF([1]Source!I1402&lt;&gt;0, ROUND(I1327/[1]Source!I1402, 2), 0)</f>
        <v>7387.92</v>
      </c>
      <c r="M1327"/>
      <c r="N1327"/>
      <c r="O1327"/>
      <c r="P1327"/>
      <c r="Q1327"/>
      <c r="AA1327" s="38">
        <f>I1327</f>
        <v>11185.310000000001</v>
      </c>
    </row>
    <row r="1328" spans="1:33" ht="42.75" x14ac:dyDescent="0.2">
      <c r="A1328" s="31">
        <v>188</v>
      </c>
      <c r="B1328" s="31" t="str">
        <f>[1]Source!F1403</f>
        <v>5.3-1102-26-2/1</v>
      </c>
      <c r="C1328" s="31" t="str">
        <f>[1]Source!G1403</f>
        <v>Очистка лотков с решетками от снега, добавлять к 3-1102-26-1 на каждые 100 см2 изменения сечения лотка</v>
      </c>
      <c r="D1328" s="32" t="str">
        <f>[1]Source!H1403</f>
        <v>10 м</v>
      </c>
      <c r="E1328" s="4">
        <f>[1]Source!I1403</f>
        <v>1.514</v>
      </c>
      <c r="F1328" s="33"/>
      <c r="G1328" s="34"/>
      <c r="H1328" s="4"/>
      <c r="I1328" s="4"/>
      <c r="J1328" s="33"/>
      <c r="K1328" s="33"/>
      <c r="M1328"/>
      <c r="N1328"/>
      <c r="O1328"/>
      <c r="P1328"/>
      <c r="Q1328"/>
      <c r="AB1328">
        <f>ROUND(([1]Source!BZ1403/100)*ROUND(([1]Source!AF1403*[1]Source!AV1403)*[1]Source!I1403, 2), 2)</f>
        <v>583.22</v>
      </c>
      <c r="AC1328">
        <f>[1]Source!X1403</f>
        <v>583.22</v>
      </c>
      <c r="AD1328">
        <f>ROUND(([1]Source!CA1403/100)*ROUND(([1]Source!AF1403*[1]Source!AV1403)*[1]Source!I1403, 2), 2)</f>
        <v>83.32</v>
      </c>
      <c r="AE1328">
        <f>[1]Source!Y1403</f>
        <v>83.32</v>
      </c>
      <c r="AF1328">
        <f>ROUND((175/100)*ROUND(([1]Source!AE1403*[1]Source!AV1403)*[1]Source!I1403, 2), 2)</f>
        <v>0</v>
      </c>
      <c r="AG1328">
        <f>ROUND((108/100)*ROUND([1]Source!CS1403*[1]Source!I1403, 2), 2)</f>
        <v>0</v>
      </c>
    </row>
    <row r="1329" spans="1:33" x14ac:dyDescent="0.2">
      <c r="C1329" s="40" t="str">
        <f>"Объем: "&amp;[1]Source!I1403&amp;"=15,14/"&amp;"10"</f>
        <v>Объем: 1,514=15,14/10</v>
      </c>
      <c r="M1329"/>
      <c r="N1329"/>
      <c r="O1329"/>
      <c r="P1329"/>
      <c r="Q1329"/>
    </row>
    <row r="1330" spans="1:33" ht="14.25" x14ac:dyDescent="0.2">
      <c r="A1330" s="31"/>
      <c r="B1330" s="31"/>
      <c r="C1330" s="31" t="s">
        <v>34</v>
      </c>
      <c r="D1330" s="32"/>
      <c r="E1330" s="4"/>
      <c r="F1330" s="33">
        <f>[1]Source!AO1403</f>
        <v>22.19</v>
      </c>
      <c r="G1330" s="34" t="str">
        <f>[1]Source!DG1403</f>
        <v>)*1*1,24*20</v>
      </c>
      <c r="H1330" s="4">
        <f>[1]Source!AV1403</f>
        <v>1</v>
      </c>
      <c r="I1330" s="4">
        <f>IF([1]Source!BA1403&lt;&gt; 0, [1]Source!BA1403, 1)</f>
        <v>1</v>
      </c>
      <c r="J1330" s="33">
        <f>[1]Source!S1403</f>
        <v>833.17</v>
      </c>
      <c r="K1330" s="33"/>
      <c r="M1330"/>
      <c r="N1330"/>
      <c r="O1330"/>
      <c r="P1330"/>
      <c r="Q1330"/>
    </row>
    <row r="1331" spans="1:33" ht="14.25" x14ac:dyDescent="0.2">
      <c r="A1331" s="31"/>
      <c r="B1331" s="31"/>
      <c r="C1331" s="31" t="s">
        <v>40</v>
      </c>
      <c r="D1331" s="32" t="s">
        <v>39</v>
      </c>
      <c r="E1331" s="4">
        <f>[1]Source!AT1403</f>
        <v>70</v>
      </c>
      <c r="F1331" s="33"/>
      <c r="G1331" s="34"/>
      <c r="H1331" s="4"/>
      <c r="I1331" s="4"/>
      <c r="J1331" s="33">
        <f>SUM(AC1328:AC1330)</f>
        <v>583.22</v>
      </c>
      <c r="K1331" s="33"/>
      <c r="M1331"/>
      <c r="N1331"/>
      <c r="O1331"/>
      <c r="P1331"/>
      <c r="Q1331"/>
    </row>
    <row r="1332" spans="1:33" ht="14.25" x14ac:dyDescent="0.2">
      <c r="A1332" s="31"/>
      <c r="B1332" s="31"/>
      <c r="C1332" s="31" t="s">
        <v>41</v>
      </c>
      <c r="D1332" s="32" t="s">
        <v>39</v>
      </c>
      <c r="E1332" s="4">
        <f>[1]Source!AU1403</f>
        <v>10</v>
      </c>
      <c r="F1332" s="33"/>
      <c r="G1332" s="34"/>
      <c r="H1332" s="4"/>
      <c r="I1332" s="4"/>
      <c r="J1332" s="33">
        <f>SUM(AE1328:AE1331)</f>
        <v>83.32</v>
      </c>
      <c r="K1332" s="33"/>
      <c r="M1332"/>
      <c r="N1332"/>
      <c r="O1332"/>
      <c r="P1332"/>
      <c r="Q1332"/>
    </row>
    <row r="1333" spans="1:33" ht="14.25" x14ac:dyDescent="0.2">
      <c r="A1333" s="31"/>
      <c r="B1333" s="31"/>
      <c r="C1333" s="31" t="s">
        <v>42</v>
      </c>
      <c r="D1333" s="32" t="s">
        <v>43</v>
      </c>
      <c r="E1333" s="4">
        <f>[1]Source!AQ1403</f>
        <v>0.08</v>
      </c>
      <c r="F1333" s="33"/>
      <c r="G1333" s="34" t="str">
        <f>[1]Source!DI1403</f>
        <v>)*1*1,24*20</v>
      </c>
      <c r="H1333" s="4">
        <f>[1]Source!AV1403</f>
        <v>1</v>
      </c>
      <c r="I1333" s="4"/>
      <c r="J1333" s="33"/>
      <c r="K1333" s="33">
        <f>[1]Source!U1403</f>
        <v>3.0037760000000002</v>
      </c>
      <c r="M1333"/>
      <c r="N1333"/>
      <c r="O1333"/>
      <c r="P1333"/>
      <c r="Q1333"/>
    </row>
    <row r="1334" spans="1:33" ht="15" x14ac:dyDescent="0.25">
      <c r="A1334" s="35"/>
      <c r="B1334" s="35"/>
      <c r="C1334" s="35"/>
      <c r="D1334" s="35"/>
      <c r="E1334" s="35"/>
      <c r="F1334" s="35"/>
      <c r="G1334" s="35"/>
      <c r="H1334" s="35"/>
      <c r="I1334" s="36">
        <f>J1330+J1331+J1332</f>
        <v>1499.7099999999998</v>
      </c>
      <c r="J1334" s="36"/>
      <c r="K1334" s="37">
        <f>IF([1]Source!I1403&lt;&gt;0, ROUND(I1334/[1]Source!I1403, 2), 0)</f>
        <v>990.56</v>
      </c>
      <c r="M1334"/>
      <c r="N1334"/>
      <c r="O1334"/>
      <c r="P1334"/>
      <c r="Q1334"/>
      <c r="AA1334" s="38">
        <f>I1334</f>
        <v>1499.7099999999998</v>
      </c>
    </row>
    <row r="1335" spans="1:33" ht="57" x14ac:dyDescent="0.2">
      <c r="A1335" s="31">
        <v>189</v>
      </c>
      <c r="B1335" s="31" t="str">
        <f>[1]Source!F1404</f>
        <v>5.3-1102-26-1/1</v>
      </c>
      <c r="C1335" s="31" t="str">
        <f>[1]Source!G1404</f>
        <v>Очистка лотков с решетками от снега, сечение лотка 100 см2, количество креплений решеток 20 шт.( сечение 225 см2)</v>
      </c>
      <c r="D1335" s="32" t="str">
        <f>[1]Source!H1404</f>
        <v>10 м</v>
      </c>
      <c r="E1335" s="4">
        <f>[1]Source!I1404</f>
        <v>4.3159999999999998</v>
      </c>
      <c r="F1335" s="33"/>
      <c r="G1335" s="34"/>
      <c r="H1335" s="4"/>
      <c r="I1335" s="4"/>
      <c r="J1335" s="33"/>
      <c r="K1335" s="33"/>
      <c r="M1335"/>
      <c r="N1335"/>
      <c r="O1335"/>
      <c r="P1335"/>
      <c r="Q1335"/>
      <c r="AB1335">
        <f>ROUND(([1]Source!BZ1404/100)*ROUND(([1]Source!AF1404*[1]Source!AV1404)*[1]Source!I1404, 2), 2)</f>
        <v>12400.21</v>
      </c>
      <c r="AC1335">
        <f>[1]Source!X1404</f>
        <v>12400.21</v>
      </c>
      <c r="AD1335">
        <f>ROUND(([1]Source!CA1404/100)*ROUND(([1]Source!AF1404*[1]Source!AV1404)*[1]Source!I1404, 2), 2)</f>
        <v>1771.46</v>
      </c>
      <c r="AE1335">
        <f>[1]Source!Y1404</f>
        <v>1771.46</v>
      </c>
      <c r="AF1335">
        <f>ROUND((175/100)*ROUND(([1]Source!AE1404*[1]Source!AV1404)*[1]Source!I1404, 2), 2)</f>
        <v>0</v>
      </c>
      <c r="AG1335">
        <f>ROUND((108/100)*ROUND([1]Source!CS1404*[1]Source!I1404, 2), 2)</f>
        <v>0</v>
      </c>
    </row>
    <row r="1336" spans="1:33" x14ac:dyDescent="0.2">
      <c r="C1336" s="40" t="str">
        <f>"Объем: "&amp;[1]Source!I1404&amp;"=43,16/"&amp;"10"</f>
        <v>Объем: 4,316=43,16/10</v>
      </c>
      <c r="M1336"/>
      <c r="N1336"/>
      <c r="O1336"/>
      <c r="P1336"/>
      <c r="Q1336"/>
    </row>
    <row r="1337" spans="1:33" ht="14.25" x14ac:dyDescent="0.2">
      <c r="A1337" s="31"/>
      <c r="B1337" s="31"/>
      <c r="C1337" s="31" t="s">
        <v>34</v>
      </c>
      <c r="D1337" s="32"/>
      <c r="E1337" s="4"/>
      <c r="F1337" s="33">
        <f>[1]Source!AO1404</f>
        <v>205.22</v>
      </c>
      <c r="G1337" s="34" t="str">
        <f>[1]Source!DG1404</f>
        <v>)*1*20</v>
      </c>
      <c r="H1337" s="4">
        <f>[1]Source!AV1404</f>
        <v>1</v>
      </c>
      <c r="I1337" s="4">
        <f>IF([1]Source!BA1404&lt;&gt; 0, [1]Source!BA1404, 1)</f>
        <v>1</v>
      </c>
      <c r="J1337" s="33">
        <f>[1]Source!S1404</f>
        <v>17714.59</v>
      </c>
      <c r="K1337" s="33"/>
      <c r="M1337"/>
      <c r="N1337"/>
      <c r="O1337"/>
      <c r="P1337"/>
      <c r="Q1337"/>
    </row>
    <row r="1338" spans="1:33" ht="14.25" x14ac:dyDescent="0.2">
      <c r="A1338" s="31"/>
      <c r="B1338" s="31"/>
      <c r="C1338" s="31" t="s">
        <v>40</v>
      </c>
      <c r="D1338" s="32" t="s">
        <v>39</v>
      </c>
      <c r="E1338" s="4">
        <f>[1]Source!AT1404</f>
        <v>70</v>
      </c>
      <c r="F1338" s="33"/>
      <c r="G1338" s="34"/>
      <c r="H1338" s="4"/>
      <c r="I1338" s="4"/>
      <c r="J1338" s="33">
        <f>SUM(AC1335:AC1337)</f>
        <v>12400.21</v>
      </c>
      <c r="K1338" s="33"/>
      <c r="M1338"/>
      <c r="N1338"/>
      <c r="O1338"/>
      <c r="P1338"/>
      <c r="Q1338"/>
    </row>
    <row r="1339" spans="1:33" ht="14.25" x14ac:dyDescent="0.2">
      <c r="A1339" s="31"/>
      <c r="B1339" s="31"/>
      <c r="C1339" s="31" t="s">
        <v>41</v>
      </c>
      <c r="D1339" s="32" t="s">
        <v>39</v>
      </c>
      <c r="E1339" s="4">
        <f>[1]Source!AU1404</f>
        <v>10</v>
      </c>
      <c r="F1339" s="33"/>
      <c r="G1339" s="34"/>
      <c r="H1339" s="4"/>
      <c r="I1339" s="4"/>
      <c r="J1339" s="33">
        <f>SUM(AE1335:AE1338)</f>
        <v>1771.46</v>
      </c>
      <c r="K1339" s="33"/>
      <c r="M1339"/>
      <c r="N1339"/>
      <c r="O1339"/>
      <c r="P1339"/>
      <c r="Q1339"/>
    </row>
    <row r="1340" spans="1:33" ht="14.25" x14ac:dyDescent="0.2">
      <c r="A1340" s="31"/>
      <c r="B1340" s="31"/>
      <c r="C1340" s="31" t="s">
        <v>42</v>
      </c>
      <c r="D1340" s="32" t="s">
        <v>43</v>
      </c>
      <c r="E1340" s="4">
        <f>[1]Source!AQ1404</f>
        <v>0.74</v>
      </c>
      <c r="F1340" s="33"/>
      <c r="G1340" s="34" t="str">
        <f>[1]Source!DI1404</f>
        <v>)*1*20</v>
      </c>
      <c r="H1340" s="4">
        <f>[1]Source!AV1404</f>
        <v>1</v>
      </c>
      <c r="I1340" s="4"/>
      <c r="J1340" s="33"/>
      <c r="K1340" s="33">
        <f>[1]Source!U1404</f>
        <v>63.876800000000003</v>
      </c>
      <c r="M1340"/>
      <c r="N1340"/>
      <c r="O1340"/>
      <c r="P1340"/>
      <c r="Q1340"/>
    </row>
    <row r="1341" spans="1:33" ht="15" x14ac:dyDescent="0.25">
      <c r="A1341" s="35"/>
      <c r="B1341" s="35"/>
      <c r="C1341" s="35"/>
      <c r="D1341" s="35"/>
      <c r="E1341" s="35"/>
      <c r="F1341" s="35"/>
      <c r="G1341" s="35"/>
      <c r="H1341" s="35"/>
      <c r="I1341" s="36">
        <f>J1337+J1338+J1339</f>
        <v>31886.26</v>
      </c>
      <c r="J1341" s="36"/>
      <c r="K1341" s="37">
        <f>IF([1]Source!I1404&lt;&gt;0, ROUND(I1341/[1]Source!I1404, 2), 0)</f>
        <v>7387.92</v>
      </c>
      <c r="M1341"/>
      <c r="N1341"/>
      <c r="O1341"/>
      <c r="P1341"/>
      <c r="Q1341"/>
      <c r="AA1341" s="38">
        <f>I1341</f>
        <v>31886.26</v>
      </c>
    </row>
    <row r="1342" spans="1:33" ht="42.75" x14ac:dyDescent="0.2">
      <c r="A1342" s="31">
        <v>190</v>
      </c>
      <c r="B1342" s="31" t="str">
        <f>[1]Source!F1405</f>
        <v>5.3-1102-26-2/1</v>
      </c>
      <c r="C1342" s="31" t="str">
        <f>[1]Source!G1405</f>
        <v>Очистка лотков с решетками от снега, добавлять к 3-1102-26-1 на каждые 100 см2 изменения сечения лотка</v>
      </c>
      <c r="D1342" s="32" t="str">
        <f>[1]Source!H1405</f>
        <v>10 м</v>
      </c>
      <c r="E1342" s="4">
        <f>[1]Source!I1405</f>
        <v>4.3159999999999998</v>
      </c>
      <c r="F1342" s="33"/>
      <c r="G1342" s="34"/>
      <c r="H1342" s="4"/>
      <c r="I1342" s="4"/>
      <c r="J1342" s="33"/>
      <c r="K1342" s="33"/>
      <c r="M1342"/>
      <c r="N1342"/>
      <c r="O1342"/>
      <c r="P1342"/>
      <c r="Q1342"/>
      <c r="AB1342">
        <f>ROUND(([1]Source!BZ1405/100)*ROUND(([1]Source!AF1405*[1]Source!AV1405)*[1]Source!I1405, 2), 2)</f>
        <v>1676.01</v>
      </c>
      <c r="AC1342">
        <f>[1]Source!X1405</f>
        <v>1676.01</v>
      </c>
      <c r="AD1342">
        <f>ROUND(([1]Source!CA1405/100)*ROUND(([1]Source!AF1405*[1]Source!AV1405)*[1]Source!I1405, 2), 2)</f>
        <v>239.43</v>
      </c>
      <c r="AE1342">
        <f>[1]Source!Y1405</f>
        <v>239.43</v>
      </c>
      <c r="AF1342">
        <f>ROUND((175/100)*ROUND(([1]Source!AE1405*[1]Source!AV1405)*[1]Source!I1405, 2), 2)</f>
        <v>0</v>
      </c>
      <c r="AG1342">
        <f>ROUND((108/100)*ROUND([1]Source!CS1405*[1]Source!I1405, 2), 2)</f>
        <v>0</v>
      </c>
    </row>
    <row r="1343" spans="1:33" x14ac:dyDescent="0.2">
      <c r="C1343" s="40" t="str">
        <f>"Объем: "&amp;[1]Source!I1405&amp;"=43,16/"&amp;"10"</f>
        <v>Объем: 4,316=43,16/10</v>
      </c>
      <c r="M1343"/>
      <c r="N1343"/>
      <c r="O1343"/>
      <c r="P1343"/>
      <c r="Q1343"/>
    </row>
    <row r="1344" spans="1:33" ht="14.25" x14ac:dyDescent="0.2">
      <c r="A1344" s="31"/>
      <c r="B1344" s="31"/>
      <c r="C1344" s="31" t="s">
        <v>34</v>
      </c>
      <c r="D1344" s="32"/>
      <c r="E1344" s="4"/>
      <c r="F1344" s="33">
        <f>[1]Source!AO1405</f>
        <v>22.19</v>
      </c>
      <c r="G1344" s="34" t="str">
        <f>[1]Source!DG1405</f>
        <v>)*1*1,25*20</v>
      </c>
      <c r="H1344" s="4">
        <f>[1]Source!AV1405</f>
        <v>1</v>
      </c>
      <c r="I1344" s="4">
        <f>IF([1]Source!BA1405&lt;&gt; 0, [1]Source!BA1405, 1)</f>
        <v>1</v>
      </c>
      <c r="J1344" s="33">
        <f>[1]Source!S1405</f>
        <v>2394.3000000000002</v>
      </c>
      <c r="K1344" s="33"/>
      <c r="M1344"/>
      <c r="N1344"/>
      <c r="O1344"/>
      <c r="P1344"/>
      <c r="Q1344"/>
    </row>
    <row r="1345" spans="1:33" ht="14.25" x14ac:dyDescent="0.2">
      <c r="A1345" s="31"/>
      <c r="B1345" s="31"/>
      <c r="C1345" s="31" t="s">
        <v>40</v>
      </c>
      <c r="D1345" s="32" t="s">
        <v>39</v>
      </c>
      <c r="E1345" s="4">
        <f>[1]Source!AT1405</f>
        <v>70</v>
      </c>
      <c r="F1345" s="33"/>
      <c r="G1345" s="34"/>
      <c r="H1345" s="4"/>
      <c r="I1345" s="4"/>
      <c r="J1345" s="33">
        <f>SUM(AC1342:AC1344)</f>
        <v>1676.01</v>
      </c>
      <c r="K1345" s="33"/>
      <c r="M1345"/>
      <c r="N1345"/>
      <c r="O1345"/>
      <c r="P1345"/>
      <c r="Q1345"/>
    </row>
    <row r="1346" spans="1:33" ht="14.25" x14ac:dyDescent="0.2">
      <c r="A1346" s="31"/>
      <c r="B1346" s="31"/>
      <c r="C1346" s="31" t="s">
        <v>41</v>
      </c>
      <c r="D1346" s="32" t="s">
        <v>39</v>
      </c>
      <c r="E1346" s="4">
        <f>[1]Source!AU1405</f>
        <v>10</v>
      </c>
      <c r="F1346" s="33"/>
      <c r="G1346" s="34"/>
      <c r="H1346" s="4"/>
      <c r="I1346" s="4"/>
      <c r="J1346" s="33">
        <f>SUM(AE1342:AE1345)</f>
        <v>239.43</v>
      </c>
      <c r="K1346" s="33"/>
      <c r="M1346"/>
      <c r="N1346"/>
      <c r="O1346"/>
      <c r="P1346"/>
      <c r="Q1346"/>
    </row>
    <row r="1347" spans="1:33" ht="14.25" x14ac:dyDescent="0.2">
      <c r="A1347" s="31"/>
      <c r="B1347" s="31"/>
      <c r="C1347" s="31" t="s">
        <v>42</v>
      </c>
      <c r="D1347" s="32" t="s">
        <v>43</v>
      </c>
      <c r="E1347" s="4">
        <f>[1]Source!AQ1405</f>
        <v>0.08</v>
      </c>
      <c r="F1347" s="33"/>
      <c r="G1347" s="34" t="str">
        <f>[1]Source!DI1405</f>
        <v>)*1*1,25*20</v>
      </c>
      <c r="H1347" s="4">
        <f>[1]Source!AV1405</f>
        <v>1</v>
      </c>
      <c r="I1347" s="4"/>
      <c r="J1347" s="33"/>
      <c r="K1347" s="33">
        <f>[1]Source!U1405</f>
        <v>8.6319999999999997</v>
      </c>
      <c r="M1347"/>
      <c r="N1347"/>
      <c r="O1347"/>
      <c r="P1347"/>
      <c r="Q1347"/>
    </row>
    <row r="1348" spans="1:33" ht="15" x14ac:dyDescent="0.25">
      <c r="A1348" s="35"/>
      <c r="B1348" s="35"/>
      <c r="C1348" s="35"/>
      <c r="D1348" s="35"/>
      <c r="E1348" s="35"/>
      <c r="F1348" s="35"/>
      <c r="G1348" s="35"/>
      <c r="H1348" s="35"/>
      <c r="I1348" s="36">
        <f>J1344+J1345+J1346</f>
        <v>4309.7400000000007</v>
      </c>
      <c r="J1348" s="36"/>
      <c r="K1348" s="37">
        <f>IF([1]Source!I1405&lt;&gt;0, ROUND(I1348/[1]Source!I1405, 2), 0)</f>
        <v>998.55</v>
      </c>
      <c r="M1348"/>
      <c r="N1348"/>
      <c r="O1348"/>
      <c r="P1348"/>
      <c r="Q1348"/>
      <c r="AA1348" s="38">
        <f>I1348</f>
        <v>4309.7400000000007</v>
      </c>
    </row>
    <row r="1349" spans="1:33" ht="57" x14ac:dyDescent="0.2">
      <c r="A1349" s="31">
        <v>191</v>
      </c>
      <c r="B1349" s="31" t="str">
        <f>[1]Source!F1406</f>
        <v>5.3-1102-26-1/1</v>
      </c>
      <c r="C1349" s="31" t="str">
        <f>[1]Source!G1406</f>
        <v>Очистка лотков с решетками от снега, сечение лотка 100 см2, количество креплений решеток 20 шт.( сечение 262,5 см2)</v>
      </c>
      <c r="D1349" s="32" t="str">
        <f>[1]Source!H1406</f>
        <v>10 м</v>
      </c>
      <c r="E1349" s="4">
        <f>[1]Source!I1406</f>
        <v>3.7530000000000001</v>
      </c>
      <c r="F1349" s="33"/>
      <c r="G1349" s="34"/>
      <c r="H1349" s="4"/>
      <c r="I1349" s="4"/>
      <c r="J1349" s="33"/>
      <c r="K1349" s="33"/>
      <c r="M1349"/>
      <c r="N1349"/>
      <c r="O1349"/>
      <c r="P1349"/>
      <c r="Q1349"/>
      <c r="AB1349">
        <f>ROUND(([1]Source!BZ1406/100)*ROUND(([1]Source!AF1406*[1]Source!AV1406)*[1]Source!I1406, 2), 2)</f>
        <v>10782.67</v>
      </c>
      <c r="AC1349">
        <f>[1]Source!X1406</f>
        <v>10782.67</v>
      </c>
      <c r="AD1349">
        <f>ROUND(([1]Source!CA1406/100)*ROUND(([1]Source!AF1406*[1]Source!AV1406)*[1]Source!I1406, 2), 2)</f>
        <v>1540.38</v>
      </c>
      <c r="AE1349">
        <f>[1]Source!Y1406</f>
        <v>1540.38</v>
      </c>
      <c r="AF1349">
        <f>ROUND((175/100)*ROUND(([1]Source!AE1406*[1]Source!AV1406)*[1]Source!I1406, 2), 2)</f>
        <v>0</v>
      </c>
      <c r="AG1349">
        <f>ROUND((108/100)*ROUND([1]Source!CS1406*[1]Source!I1406, 2), 2)</f>
        <v>0</v>
      </c>
    </row>
    <row r="1350" spans="1:33" x14ac:dyDescent="0.2">
      <c r="C1350" s="40" t="str">
        <f>"Объем: "&amp;[1]Source!I1406&amp;"=37,53/"&amp;"10"</f>
        <v>Объем: 3,753=37,53/10</v>
      </c>
      <c r="M1350"/>
      <c r="N1350"/>
      <c r="O1350"/>
      <c r="P1350"/>
      <c r="Q1350"/>
    </row>
    <row r="1351" spans="1:33" ht="14.25" x14ac:dyDescent="0.2">
      <c r="A1351" s="31"/>
      <c r="B1351" s="31"/>
      <c r="C1351" s="31" t="s">
        <v>34</v>
      </c>
      <c r="D1351" s="32"/>
      <c r="E1351" s="4"/>
      <c r="F1351" s="33">
        <f>[1]Source!AO1406</f>
        <v>205.22</v>
      </c>
      <c r="G1351" s="34" t="str">
        <f>[1]Source!DG1406</f>
        <v>)*1*20</v>
      </c>
      <c r="H1351" s="4">
        <f>[1]Source!AV1406</f>
        <v>1</v>
      </c>
      <c r="I1351" s="4">
        <f>IF([1]Source!BA1406&lt;&gt; 0, [1]Source!BA1406, 1)</f>
        <v>1</v>
      </c>
      <c r="J1351" s="33">
        <f>[1]Source!S1406</f>
        <v>15403.81</v>
      </c>
      <c r="K1351" s="33"/>
      <c r="M1351"/>
      <c r="N1351"/>
      <c r="O1351"/>
      <c r="P1351"/>
      <c r="Q1351"/>
    </row>
    <row r="1352" spans="1:33" ht="14.25" x14ac:dyDescent="0.2">
      <c r="A1352" s="31"/>
      <c r="B1352" s="31"/>
      <c r="C1352" s="31" t="s">
        <v>40</v>
      </c>
      <c r="D1352" s="32" t="s">
        <v>39</v>
      </c>
      <c r="E1352" s="4">
        <f>[1]Source!AT1406</f>
        <v>70</v>
      </c>
      <c r="F1352" s="33"/>
      <c r="G1352" s="34"/>
      <c r="H1352" s="4"/>
      <c r="I1352" s="4"/>
      <c r="J1352" s="33">
        <f>SUM(AC1349:AC1351)</f>
        <v>10782.67</v>
      </c>
      <c r="K1352" s="33"/>
      <c r="M1352"/>
      <c r="N1352"/>
      <c r="O1352"/>
      <c r="P1352"/>
      <c r="Q1352"/>
    </row>
    <row r="1353" spans="1:33" ht="14.25" x14ac:dyDescent="0.2">
      <c r="A1353" s="31"/>
      <c r="B1353" s="31"/>
      <c r="C1353" s="31" t="s">
        <v>41</v>
      </c>
      <c r="D1353" s="32" t="s">
        <v>39</v>
      </c>
      <c r="E1353" s="4">
        <f>[1]Source!AU1406</f>
        <v>10</v>
      </c>
      <c r="F1353" s="33"/>
      <c r="G1353" s="34"/>
      <c r="H1353" s="4"/>
      <c r="I1353" s="4"/>
      <c r="J1353" s="33">
        <f>SUM(AE1349:AE1352)</f>
        <v>1540.38</v>
      </c>
      <c r="K1353" s="33"/>
      <c r="M1353"/>
      <c r="N1353"/>
      <c r="O1353"/>
      <c r="P1353"/>
      <c r="Q1353"/>
    </row>
    <row r="1354" spans="1:33" ht="14.25" x14ac:dyDescent="0.2">
      <c r="A1354" s="31"/>
      <c r="B1354" s="31"/>
      <c r="C1354" s="31" t="s">
        <v>42</v>
      </c>
      <c r="D1354" s="32" t="s">
        <v>43</v>
      </c>
      <c r="E1354" s="4">
        <f>[1]Source!AQ1406</f>
        <v>0.74</v>
      </c>
      <c r="F1354" s="33"/>
      <c r="G1354" s="34" t="str">
        <f>[1]Source!DI1406</f>
        <v>)*1*20</v>
      </c>
      <c r="H1354" s="4">
        <f>[1]Source!AV1406</f>
        <v>1</v>
      </c>
      <c r="I1354" s="4"/>
      <c r="J1354" s="33"/>
      <c r="K1354" s="33">
        <f>[1]Source!U1406</f>
        <v>55.544400000000003</v>
      </c>
      <c r="M1354"/>
      <c r="N1354"/>
      <c r="O1354"/>
      <c r="P1354"/>
      <c r="Q1354"/>
    </row>
    <row r="1355" spans="1:33" ht="15" x14ac:dyDescent="0.25">
      <c r="A1355" s="35"/>
      <c r="B1355" s="35"/>
      <c r="C1355" s="35"/>
      <c r="D1355" s="35"/>
      <c r="E1355" s="35"/>
      <c r="F1355" s="35"/>
      <c r="G1355" s="35"/>
      <c r="H1355" s="35"/>
      <c r="I1355" s="36">
        <f>J1351+J1352+J1353</f>
        <v>27726.86</v>
      </c>
      <c r="J1355" s="36"/>
      <c r="K1355" s="37">
        <f>IF([1]Source!I1406&lt;&gt;0, ROUND(I1355/[1]Source!I1406, 2), 0)</f>
        <v>7387.92</v>
      </c>
      <c r="M1355"/>
      <c r="N1355"/>
      <c r="O1355"/>
      <c r="P1355"/>
      <c r="Q1355"/>
      <c r="AA1355" s="38">
        <f>I1355</f>
        <v>27726.86</v>
      </c>
    </row>
    <row r="1356" spans="1:33" ht="42.75" x14ac:dyDescent="0.2">
      <c r="A1356" s="31">
        <v>192</v>
      </c>
      <c r="B1356" s="31" t="str">
        <f>[1]Source!F1407</f>
        <v>5.3-1102-26-2/1</v>
      </c>
      <c r="C1356" s="31" t="str">
        <f>[1]Source!G1407</f>
        <v>Очистка лотков с решетками от снега, добавлять к 3-1102-26-1 на каждые 100 см2 изменения сечения лотка</v>
      </c>
      <c r="D1356" s="32" t="str">
        <f>[1]Source!H1407</f>
        <v>10 м</v>
      </c>
      <c r="E1356" s="4">
        <f>[1]Source!I1407</f>
        <v>3.7530000000000001</v>
      </c>
      <c r="F1356" s="33"/>
      <c r="G1356" s="34"/>
      <c r="H1356" s="4"/>
      <c r="I1356" s="4"/>
      <c r="J1356" s="33"/>
      <c r="K1356" s="33"/>
      <c r="M1356"/>
      <c r="N1356"/>
      <c r="O1356"/>
      <c r="P1356"/>
      <c r="Q1356"/>
      <c r="AB1356">
        <f>ROUND(([1]Source!BZ1407/100)*ROUND(([1]Source!AF1407*[1]Source!AV1407)*[1]Source!I1407, 2), 2)</f>
        <v>1894.6</v>
      </c>
      <c r="AC1356">
        <f>[1]Source!X1407</f>
        <v>1894.6</v>
      </c>
      <c r="AD1356">
        <f>ROUND(([1]Source!CA1407/100)*ROUND(([1]Source!AF1407*[1]Source!AV1407)*[1]Source!I1407, 2), 2)</f>
        <v>270.66000000000003</v>
      </c>
      <c r="AE1356">
        <f>[1]Source!Y1407</f>
        <v>270.66000000000003</v>
      </c>
      <c r="AF1356">
        <f>ROUND((175/100)*ROUND(([1]Source!AE1407*[1]Source!AV1407)*[1]Source!I1407, 2), 2)</f>
        <v>0</v>
      </c>
      <c r="AG1356">
        <f>ROUND((108/100)*ROUND([1]Source!CS1407*[1]Source!I1407, 2), 2)</f>
        <v>0</v>
      </c>
    </row>
    <row r="1357" spans="1:33" x14ac:dyDescent="0.2">
      <c r="C1357" s="40" t="str">
        <f>"Объем: "&amp;[1]Source!I1407&amp;"=37,53/"&amp;"10"</f>
        <v>Объем: 3,753=37,53/10</v>
      </c>
      <c r="M1357"/>
      <c r="N1357"/>
      <c r="O1357"/>
      <c r="P1357"/>
      <c r="Q1357"/>
    </row>
    <row r="1358" spans="1:33" ht="28.5" x14ac:dyDescent="0.2">
      <c r="A1358" s="31"/>
      <c r="B1358" s="31"/>
      <c r="C1358" s="31" t="s">
        <v>34</v>
      </c>
      <c r="D1358" s="32"/>
      <c r="E1358" s="4"/>
      <c r="F1358" s="33">
        <f>[1]Source!AO1407</f>
        <v>22.19</v>
      </c>
      <c r="G1358" s="34" t="str">
        <f>[1]Source!DG1407</f>
        <v>)*1*1,625*20</v>
      </c>
      <c r="H1358" s="4">
        <f>[1]Source!AV1407</f>
        <v>1</v>
      </c>
      <c r="I1358" s="4">
        <f>IF([1]Source!BA1407&lt;&gt; 0, [1]Source!BA1407, 1)</f>
        <v>1</v>
      </c>
      <c r="J1358" s="33">
        <f>[1]Source!S1407</f>
        <v>2706.57</v>
      </c>
      <c r="K1358" s="33"/>
      <c r="M1358"/>
      <c r="N1358"/>
      <c r="O1358"/>
      <c r="P1358"/>
      <c r="Q1358"/>
    </row>
    <row r="1359" spans="1:33" ht="14.25" x14ac:dyDescent="0.2">
      <c r="A1359" s="31"/>
      <c r="B1359" s="31"/>
      <c r="C1359" s="31" t="s">
        <v>40</v>
      </c>
      <c r="D1359" s="32" t="s">
        <v>39</v>
      </c>
      <c r="E1359" s="4">
        <f>[1]Source!AT1407</f>
        <v>70</v>
      </c>
      <c r="F1359" s="33"/>
      <c r="G1359" s="34"/>
      <c r="H1359" s="4"/>
      <c r="I1359" s="4"/>
      <c r="J1359" s="33">
        <f>SUM(AC1356:AC1358)</f>
        <v>1894.6</v>
      </c>
      <c r="K1359" s="33"/>
      <c r="M1359"/>
      <c r="N1359"/>
      <c r="O1359"/>
      <c r="P1359"/>
      <c r="Q1359"/>
    </row>
    <row r="1360" spans="1:33" ht="14.25" x14ac:dyDescent="0.2">
      <c r="A1360" s="31"/>
      <c r="B1360" s="31"/>
      <c r="C1360" s="31" t="s">
        <v>41</v>
      </c>
      <c r="D1360" s="32" t="s">
        <v>39</v>
      </c>
      <c r="E1360" s="4">
        <f>[1]Source!AU1407</f>
        <v>10</v>
      </c>
      <c r="F1360" s="33"/>
      <c r="G1360" s="34"/>
      <c r="H1360" s="4"/>
      <c r="I1360" s="4"/>
      <c r="J1360" s="33">
        <f>SUM(AE1356:AE1359)</f>
        <v>270.66000000000003</v>
      </c>
      <c r="K1360" s="33"/>
      <c r="M1360"/>
      <c r="N1360"/>
      <c r="O1360"/>
      <c r="P1360"/>
      <c r="Q1360"/>
    </row>
    <row r="1361" spans="1:33" ht="28.5" x14ac:dyDescent="0.2">
      <c r="A1361" s="31"/>
      <c r="B1361" s="31"/>
      <c r="C1361" s="31" t="s">
        <v>42</v>
      </c>
      <c r="D1361" s="32" t="s">
        <v>43</v>
      </c>
      <c r="E1361" s="4">
        <f>[1]Source!AQ1407</f>
        <v>0.08</v>
      </c>
      <c r="F1361" s="33"/>
      <c r="G1361" s="34" t="str">
        <f>[1]Source!DI1407</f>
        <v>)*1*1,625*20</v>
      </c>
      <c r="H1361" s="4">
        <f>[1]Source!AV1407</f>
        <v>1</v>
      </c>
      <c r="I1361" s="4"/>
      <c r="J1361" s="33"/>
      <c r="K1361" s="33">
        <f>[1]Source!U1407</f>
        <v>9.7578000000000014</v>
      </c>
      <c r="M1361"/>
      <c r="N1361"/>
      <c r="O1361"/>
      <c r="P1361"/>
      <c r="Q1361"/>
    </row>
    <row r="1362" spans="1:33" ht="15" x14ac:dyDescent="0.25">
      <c r="A1362" s="35"/>
      <c r="B1362" s="35"/>
      <c r="C1362" s="35"/>
      <c r="D1362" s="35"/>
      <c r="E1362" s="35"/>
      <c r="F1362" s="35"/>
      <c r="G1362" s="35"/>
      <c r="H1362" s="35"/>
      <c r="I1362" s="36">
        <f>J1358+J1359+J1360</f>
        <v>4871.83</v>
      </c>
      <c r="J1362" s="36"/>
      <c r="K1362" s="37">
        <f>IF([1]Source!I1407&lt;&gt;0, ROUND(I1362/[1]Source!I1407, 2), 0)</f>
        <v>1298.1199999999999</v>
      </c>
      <c r="M1362"/>
      <c r="N1362"/>
      <c r="O1362"/>
      <c r="P1362"/>
      <c r="Q1362"/>
      <c r="AA1362" s="38">
        <f>I1362</f>
        <v>4871.83</v>
      </c>
    </row>
    <row r="1363" spans="1:33" ht="57" x14ac:dyDescent="0.2">
      <c r="A1363" s="31">
        <v>193</v>
      </c>
      <c r="B1363" s="31" t="str">
        <f>[1]Source!F1408</f>
        <v>5.3-1102-26-1/1</v>
      </c>
      <c r="C1363" s="31" t="str">
        <f>[1]Source!G1408</f>
        <v>Очистка лотков с решетками от снега, сечение лотка 100 см2, количество креплений решеток 20 шт.( сечение 280 см2)</v>
      </c>
      <c r="D1363" s="32" t="str">
        <f>[1]Source!H1408</f>
        <v>10 м</v>
      </c>
      <c r="E1363" s="4">
        <f>[1]Source!I1408</f>
        <v>6.5</v>
      </c>
      <c r="F1363" s="33"/>
      <c r="G1363" s="34"/>
      <c r="H1363" s="4"/>
      <c r="I1363" s="4"/>
      <c r="J1363" s="33"/>
      <c r="K1363" s="33"/>
      <c r="M1363"/>
      <c r="N1363"/>
      <c r="O1363"/>
      <c r="P1363"/>
      <c r="Q1363"/>
      <c r="AB1363">
        <f>ROUND(([1]Source!BZ1408/100)*ROUND(([1]Source!AF1408*[1]Source!AV1408)*[1]Source!I1408, 2), 2)</f>
        <v>18675.02</v>
      </c>
      <c r="AC1363">
        <f>[1]Source!X1408</f>
        <v>18675.02</v>
      </c>
      <c r="AD1363">
        <f>ROUND(([1]Source!CA1408/100)*ROUND(([1]Source!AF1408*[1]Source!AV1408)*[1]Source!I1408, 2), 2)</f>
        <v>2667.86</v>
      </c>
      <c r="AE1363">
        <f>[1]Source!Y1408</f>
        <v>2667.86</v>
      </c>
      <c r="AF1363">
        <f>ROUND((175/100)*ROUND(([1]Source!AE1408*[1]Source!AV1408)*[1]Source!I1408, 2), 2)</f>
        <v>0</v>
      </c>
      <c r="AG1363">
        <f>ROUND((108/100)*ROUND([1]Source!CS1408*[1]Source!I1408, 2), 2)</f>
        <v>0</v>
      </c>
    </row>
    <row r="1364" spans="1:33" x14ac:dyDescent="0.2">
      <c r="C1364" s="40" t="str">
        <f>"Объем: "&amp;[1]Source!I1408&amp;"=65/"&amp;"10"</f>
        <v>Объем: 6,5=65/10</v>
      </c>
      <c r="M1364"/>
      <c r="N1364"/>
      <c r="O1364"/>
      <c r="P1364"/>
      <c r="Q1364"/>
    </row>
    <row r="1365" spans="1:33" ht="14.25" x14ac:dyDescent="0.2">
      <c r="A1365" s="31"/>
      <c r="B1365" s="31"/>
      <c r="C1365" s="31" t="s">
        <v>34</v>
      </c>
      <c r="D1365" s="32"/>
      <c r="E1365" s="4"/>
      <c r="F1365" s="33">
        <f>[1]Source!AO1408</f>
        <v>205.22</v>
      </c>
      <c r="G1365" s="34" t="str">
        <f>[1]Source!DG1408</f>
        <v>)*1*20</v>
      </c>
      <c r="H1365" s="4">
        <f>[1]Source!AV1408</f>
        <v>1</v>
      </c>
      <c r="I1365" s="4">
        <f>IF([1]Source!BA1408&lt;&gt; 0, [1]Source!BA1408, 1)</f>
        <v>1</v>
      </c>
      <c r="J1365" s="33">
        <f>[1]Source!S1408</f>
        <v>26678.6</v>
      </c>
      <c r="K1365" s="33"/>
      <c r="M1365"/>
      <c r="N1365"/>
      <c r="O1365"/>
      <c r="P1365"/>
      <c r="Q1365"/>
    </row>
    <row r="1366" spans="1:33" ht="14.25" x14ac:dyDescent="0.2">
      <c r="A1366" s="31"/>
      <c r="B1366" s="31"/>
      <c r="C1366" s="31" t="s">
        <v>40</v>
      </c>
      <c r="D1366" s="32" t="s">
        <v>39</v>
      </c>
      <c r="E1366" s="4">
        <f>[1]Source!AT1408</f>
        <v>70</v>
      </c>
      <c r="F1366" s="33"/>
      <c r="G1366" s="34"/>
      <c r="H1366" s="4"/>
      <c r="I1366" s="4"/>
      <c r="J1366" s="33">
        <f>SUM(AC1363:AC1365)</f>
        <v>18675.02</v>
      </c>
      <c r="K1366" s="33"/>
      <c r="M1366"/>
      <c r="N1366"/>
      <c r="O1366"/>
      <c r="P1366"/>
      <c r="Q1366"/>
    </row>
    <row r="1367" spans="1:33" ht="14.25" x14ac:dyDescent="0.2">
      <c r="A1367" s="31"/>
      <c r="B1367" s="31"/>
      <c r="C1367" s="31" t="s">
        <v>41</v>
      </c>
      <c r="D1367" s="32" t="s">
        <v>39</v>
      </c>
      <c r="E1367" s="4">
        <f>[1]Source!AU1408</f>
        <v>10</v>
      </c>
      <c r="F1367" s="33"/>
      <c r="G1367" s="34"/>
      <c r="H1367" s="4"/>
      <c r="I1367" s="4"/>
      <c r="J1367" s="33">
        <f>SUM(AE1363:AE1366)</f>
        <v>2667.86</v>
      </c>
      <c r="K1367" s="33"/>
      <c r="M1367"/>
      <c r="N1367"/>
      <c r="O1367"/>
      <c r="P1367"/>
      <c r="Q1367"/>
    </row>
    <row r="1368" spans="1:33" ht="14.25" x14ac:dyDescent="0.2">
      <c r="A1368" s="31"/>
      <c r="B1368" s="31"/>
      <c r="C1368" s="31" t="s">
        <v>42</v>
      </c>
      <c r="D1368" s="32" t="s">
        <v>43</v>
      </c>
      <c r="E1368" s="4">
        <f>[1]Source!AQ1408</f>
        <v>0.74</v>
      </c>
      <c r="F1368" s="33"/>
      <c r="G1368" s="34" t="str">
        <f>[1]Source!DI1408</f>
        <v>)*1*20</v>
      </c>
      <c r="H1368" s="4">
        <f>[1]Source!AV1408</f>
        <v>1</v>
      </c>
      <c r="I1368" s="4"/>
      <c r="J1368" s="33"/>
      <c r="K1368" s="33">
        <f>[1]Source!U1408</f>
        <v>96.2</v>
      </c>
      <c r="M1368"/>
      <c r="N1368"/>
      <c r="O1368"/>
      <c r="P1368"/>
      <c r="Q1368"/>
    </row>
    <row r="1369" spans="1:33" ht="15" x14ac:dyDescent="0.25">
      <c r="A1369" s="35"/>
      <c r="B1369" s="35"/>
      <c r="C1369" s="35"/>
      <c r="D1369" s="35"/>
      <c r="E1369" s="35"/>
      <c r="F1369" s="35"/>
      <c r="G1369" s="35"/>
      <c r="H1369" s="35"/>
      <c r="I1369" s="36">
        <f>J1365+J1366+J1367</f>
        <v>48021.479999999996</v>
      </c>
      <c r="J1369" s="36"/>
      <c r="K1369" s="37">
        <f>IF([1]Source!I1408&lt;&gt;0, ROUND(I1369/[1]Source!I1408, 2), 0)</f>
        <v>7387.92</v>
      </c>
      <c r="M1369"/>
      <c r="N1369"/>
      <c r="O1369"/>
      <c r="P1369"/>
      <c r="Q1369"/>
      <c r="AA1369" s="38">
        <f>I1369</f>
        <v>48021.479999999996</v>
      </c>
    </row>
    <row r="1370" spans="1:33" ht="42.75" x14ac:dyDescent="0.2">
      <c r="A1370" s="31">
        <v>194</v>
      </c>
      <c r="B1370" s="31" t="str">
        <f>[1]Source!F1409</f>
        <v>5.3-1102-26-2/1</v>
      </c>
      <c r="C1370" s="31" t="str">
        <f>[1]Source!G1409</f>
        <v>Очистка лотков с решетками от снега, добавлять к 3-1102-26-1 на каждые 100 см2 изменения сечения лотка</v>
      </c>
      <c r="D1370" s="32" t="str">
        <f>[1]Source!H1409</f>
        <v>10 м</v>
      </c>
      <c r="E1370" s="4">
        <f>[1]Source!I1409</f>
        <v>6.5</v>
      </c>
      <c r="F1370" s="33"/>
      <c r="G1370" s="34"/>
      <c r="H1370" s="4"/>
      <c r="I1370" s="4"/>
      <c r="J1370" s="33"/>
      <c r="K1370" s="33"/>
      <c r="M1370"/>
      <c r="N1370"/>
      <c r="O1370"/>
      <c r="P1370"/>
      <c r="Q1370"/>
      <c r="AB1370">
        <f>ROUND(([1]Source!BZ1409/100)*ROUND(([1]Source!AF1409*[1]Source!AV1409)*[1]Source!I1409, 2), 2)</f>
        <v>3634.72</v>
      </c>
      <c r="AC1370">
        <f>[1]Source!X1409</f>
        <v>3634.72</v>
      </c>
      <c r="AD1370">
        <f>ROUND(([1]Source!CA1409/100)*ROUND(([1]Source!AF1409*[1]Source!AV1409)*[1]Source!I1409, 2), 2)</f>
        <v>519.25</v>
      </c>
      <c r="AE1370">
        <f>[1]Source!Y1409</f>
        <v>519.25</v>
      </c>
      <c r="AF1370">
        <f>ROUND((175/100)*ROUND(([1]Source!AE1409*[1]Source!AV1409)*[1]Source!I1409, 2), 2)</f>
        <v>0</v>
      </c>
      <c r="AG1370">
        <f>ROUND((108/100)*ROUND([1]Source!CS1409*[1]Source!I1409, 2), 2)</f>
        <v>0</v>
      </c>
    </row>
    <row r="1371" spans="1:33" x14ac:dyDescent="0.2">
      <c r="C1371" s="40" t="str">
        <f>"Объем: "&amp;[1]Source!I1409&amp;"=65/"&amp;"10"</f>
        <v>Объем: 6,5=65/10</v>
      </c>
      <c r="M1371"/>
      <c r="N1371"/>
      <c r="O1371"/>
      <c r="P1371"/>
      <c r="Q1371"/>
    </row>
    <row r="1372" spans="1:33" ht="14.25" x14ac:dyDescent="0.2">
      <c r="A1372" s="31"/>
      <c r="B1372" s="31"/>
      <c r="C1372" s="31" t="s">
        <v>34</v>
      </c>
      <c r="D1372" s="32"/>
      <c r="E1372" s="4"/>
      <c r="F1372" s="33">
        <f>[1]Source!AO1409</f>
        <v>22.19</v>
      </c>
      <c r="G1372" s="34" t="str">
        <f>[1]Source!DG1409</f>
        <v>)*1*1,80*20</v>
      </c>
      <c r="H1372" s="4">
        <f>[1]Source!AV1409</f>
        <v>1</v>
      </c>
      <c r="I1372" s="4">
        <f>IF([1]Source!BA1409&lt;&gt; 0, [1]Source!BA1409, 1)</f>
        <v>1</v>
      </c>
      <c r="J1372" s="33">
        <f>[1]Source!S1409</f>
        <v>5192.46</v>
      </c>
      <c r="K1372" s="33"/>
      <c r="M1372"/>
      <c r="N1372"/>
      <c r="O1372"/>
      <c r="P1372"/>
      <c r="Q1372"/>
    </row>
    <row r="1373" spans="1:33" ht="14.25" x14ac:dyDescent="0.2">
      <c r="A1373" s="31"/>
      <c r="B1373" s="31"/>
      <c r="C1373" s="31" t="s">
        <v>40</v>
      </c>
      <c r="D1373" s="32" t="s">
        <v>39</v>
      </c>
      <c r="E1373" s="4">
        <f>[1]Source!AT1409</f>
        <v>70</v>
      </c>
      <c r="F1373" s="33"/>
      <c r="G1373" s="34"/>
      <c r="H1373" s="4"/>
      <c r="I1373" s="4"/>
      <c r="J1373" s="33">
        <f>SUM(AC1370:AC1372)</f>
        <v>3634.72</v>
      </c>
      <c r="K1373" s="33"/>
      <c r="M1373"/>
      <c r="N1373"/>
      <c r="O1373"/>
      <c r="P1373"/>
      <c r="Q1373"/>
    </row>
    <row r="1374" spans="1:33" ht="14.25" x14ac:dyDescent="0.2">
      <c r="A1374" s="31"/>
      <c r="B1374" s="31"/>
      <c r="C1374" s="31" t="s">
        <v>41</v>
      </c>
      <c r="D1374" s="32" t="s">
        <v>39</v>
      </c>
      <c r="E1374" s="4">
        <f>[1]Source!AU1409</f>
        <v>10</v>
      </c>
      <c r="F1374" s="33"/>
      <c r="G1374" s="34"/>
      <c r="H1374" s="4"/>
      <c r="I1374" s="4"/>
      <c r="J1374" s="33">
        <f>SUM(AE1370:AE1373)</f>
        <v>519.25</v>
      </c>
      <c r="K1374" s="33"/>
      <c r="M1374"/>
      <c r="N1374"/>
      <c r="O1374"/>
      <c r="P1374"/>
      <c r="Q1374"/>
    </row>
    <row r="1375" spans="1:33" ht="14.25" x14ac:dyDescent="0.2">
      <c r="A1375" s="31"/>
      <c r="B1375" s="31"/>
      <c r="C1375" s="31" t="s">
        <v>42</v>
      </c>
      <c r="D1375" s="32" t="s">
        <v>43</v>
      </c>
      <c r="E1375" s="4">
        <f>[1]Source!AQ1409</f>
        <v>0.08</v>
      </c>
      <c r="F1375" s="33"/>
      <c r="G1375" s="34" t="str">
        <f>[1]Source!DI1409</f>
        <v>)*1*1,80*20</v>
      </c>
      <c r="H1375" s="4">
        <f>[1]Source!AV1409</f>
        <v>1</v>
      </c>
      <c r="I1375" s="4"/>
      <c r="J1375" s="33"/>
      <c r="K1375" s="33">
        <f>[1]Source!U1409</f>
        <v>18.720000000000002</v>
      </c>
      <c r="M1375"/>
      <c r="N1375"/>
      <c r="O1375"/>
      <c r="P1375"/>
      <c r="Q1375"/>
    </row>
    <row r="1376" spans="1:33" ht="15" x14ac:dyDescent="0.25">
      <c r="A1376" s="35"/>
      <c r="B1376" s="35"/>
      <c r="C1376" s="35"/>
      <c r="D1376" s="35"/>
      <c r="E1376" s="35"/>
      <c r="F1376" s="35"/>
      <c r="G1376" s="35"/>
      <c r="H1376" s="35"/>
      <c r="I1376" s="36">
        <f>J1372+J1373+J1374</f>
        <v>9346.43</v>
      </c>
      <c r="J1376" s="36"/>
      <c r="K1376" s="37">
        <f>IF([1]Source!I1409&lt;&gt;0, ROUND(I1376/[1]Source!I1409, 2), 0)</f>
        <v>1437.91</v>
      </c>
      <c r="M1376"/>
      <c r="N1376"/>
      <c r="O1376"/>
      <c r="P1376"/>
      <c r="Q1376"/>
      <c r="AA1376" s="38">
        <f>I1376</f>
        <v>9346.43</v>
      </c>
    </row>
    <row r="1377" spans="1:33" ht="57" x14ac:dyDescent="0.2">
      <c r="A1377" s="31">
        <v>195</v>
      </c>
      <c r="B1377" s="31" t="str">
        <f>[1]Source!F1410</f>
        <v>5.3-1102-26-1/1</v>
      </c>
      <c r="C1377" s="31" t="str">
        <f>[1]Source!G1410</f>
        <v>Очистка лотков с решетками от снега, сечение лотка 100 см2, количество креплений решеток 20 шт.( сечение 287,5 см2)</v>
      </c>
      <c r="D1377" s="32" t="str">
        <f>[1]Source!H1410</f>
        <v>10 м</v>
      </c>
      <c r="E1377" s="4">
        <f>[1]Source!I1410</f>
        <v>12.215999999999999</v>
      </c>
      <c r="F1377" s="33"/>
      <c r="G1377" s="34"/>
      <c r="H1377" s="4"/>
      <c r="I1377" s="4"/>
      <c r="J1377" s="33"/>
      <c r="K1377" s="33"/>
      <c r="M1377"/>
      <c r="N1377"/>
      <c r="O1377"/>
      <c r="P1377"/>
      <c r="Q1377"/>
      <c r="AB1377">
        <f>ROUND(([1]Source!BZ1410/100)*ROUND(([1]Source!AF1410*[1]Source!AV1410)*[1]Source!I1410, 2), 2)</f>
        <v>35097.550000000003</v>
      </c>
      <c r="AC1377">
        <f>[1]Source!X1410</f>
        <v>35097.550000000003</v>
      </c>
      <c r="AD1377">
        <f>ROUND(([1]Source!CA1410/100)*ROUND(([1]Source!AF1410*[1]Source!AV1410)*[1]Source!I1410, 2), 2)</f>
        <v>5013.9399999999996</v>
      </c>
      <c r="AE1377">
        <f>[1]Source!Y1410</f>
        <v>5013.9399999999996</v>
      </c>
      <c r="AF1377">
        <f>ROUND((175/100)*ROUND(([1]Source!AE1410*[1]Source!AV1410)*[1]Source!I1410, 2), 2)</f>
        <v>0</v>
      </c>
      <c r="AG1377">
        <f>ROUND((108/100)*ROUND([1]Source!CS1410*[1]Source!I1410, 2), 2)</f>
        <v>0</v>
      </c>
    </row>
    <row r="1378" spans="1:33" x14ac:dyDescent="0.2">
      <c r="C1378" s="40" t="str">
        <f>"Объем: "&amp;[1]Source!I1410&amp;"=122,16/"&amp;"10"</f>
        <v>Объем: 12,216=122,16/10</v>
      </c>
      <c r="M1378"/>
      <c r="N1378"/>
      <c r="O1378"/>
      <c r="P1378"/>
      <c r="Q1378"/>
    </row>
    <row r="1379" spans="1:33" ht="14.25" x14ac:dyDescent="0.2">
      <c r="A1379" s="31"/>
      <c r="B1379" s="31"/>
      <c r="C1379" s="31" t="s">
        <v>34</v>
      </c>
      <c r="D1379" s="32"/>
      <c r="E1379" s="4"/>
      <c r="F1379" s="33">
        <f>[1]Source!AO1410</f>
        <v>205.22</v>
      </c>
      <c r="G1379" s="34" t="str">
        <f>[1]Source!DG1410</f>
        <v>)*1*20</v>
      </c>
      <c r="H1379" s="4">
        <f>[1]Source!AV1410</f>
        <v>1</v>
      </c>
      <c r="I1379" s="4">
        <f>IF([1]Source!BA1410&lt;&gt; 0, [1]Source!BA1410, 1)</f>
        <v>1</v>
      </c>
      <c r="J1379" s="33">
        <f>[1]Source!S1410</f>
        <v>50139.35</v>
      </c>
      <c r="K1379" s="33"/>
      <c r="M1379"/>
      <c r="N1379"/>
      <c r="O1379"/>
      <c r="P1379"/>
      <c r="Q1379"/>
    </row>
    <row r="1380" spans="1:33" ht="14.25" x14ac:dyDescent="0.2">
      <c r="A1380" s="31"/>
      <c r="B1380" s="31"/>
      <c r="C1380" s="31" t="s">
        <v>40</v>
      </c>
      <c r="D1380" s="32" t="s">
        <v>39</v>
      </c>
      <c r="E1380" s="4">
        <f>[1]Source!AT1410</f>
        <v>70</v>
      </c>
      <c r="F1380" s="33"/>
      <c r="G1380" s="34"/>
      <c r="H1380" s="4"/>
      <c r="I1380" s="4"/>
      <c r="J1380" s="33">
        <f>SUM(AC1377:AC1379)</f>
        <v>35097.550000000003</v>
      </c>
      <c r="K1380" s="33"/>
      <c r="M1380"/>
      <c r="N1380"/>
      <c r="O1380"/>
      <c r="P1380"/>
      <c r="Q1380"/>
    </row>
    <row r="1381" spans="1:33" ht="14.25" x14ac:dyDescent="0.2">
      <c r="A1381" s="31"/>
      <c r="B1381" s="31"/>
      <c r="C1381" s="31" t="s">
        <v>41</v>
      </c>
      <c r="D1381" s="32" t="s">
        <v>39</v>
      </c>
      <c r="E1381" s="4">
        <f>[1]Source!AU1410</f>
        <v>10</v>
      </c>
      <c r="F1381" s="33"/>
      <c r="G1381" s="34"/>
      <c r="H1381" s="4"/>
      <c r="I1381" s="4"/>
      <c r="J1381" s="33">
        <f>SUM(AE1377:AE1380)</f>
        <v>5013.9399999999996</v>
      </c>
      <c r="K1381" s="33"/>
      <c r="M1381"/>
      <c r="N1381"/>
      <c r="O1381"/>
      <c r="P1381"/>
      <c r="Q1381"/>
    </row>
    <row r="1382" spans="1:33" ht="14.25" x14ac:dyDescent="0.2">
      <c r="A1382" s="31"/>
      <c r="B1382" s="31"/>
      <c r="C1382" s="31" t="s">
        <v>42</v>
      </c>
      <c r="D1382" s="32" t="s">
        <v>43</v>
      </c>
      <c r="E1382" s="4">
        <f>[1]Source!AQ1410</f>
        <v>0.74</v>
      </c>
      <c r="F1382" s="33"/>
      <c r="G1382" s="34" t="str">
        <f>[1]Source!DI1410</f>
        <v>)*1*20</v>
      </c>
      <c r="H1382" s="4">
        <f>[1]Source!AV1410</f>
        <v>1</v>
      </c>
      <c r="I1382" s="4"/>
      <c r="J1382" s="33"/>
      <c r="K1382" s="33">
        <f>[1]Source!U1410</f>
        <v>180.79679999999999</v>
      </c>
      <c r="M1382"/>
      <c r="N1382"/>
      <c r="O1382"/>
      <c r="P1382"/>
      <c r="Q1382"/>
    </row>
    <row r="1383" spans="1:33" ht="15" x14ac:dyDescent="0.25">
      <c r="A1383" s="35"/>
      <c r="B1383" s="35"/>
      <c r="C1383" s="35"/>
      <c r="D1383" s="35"/>
      <c r="E1383" s="35"/>
      <c r="F1383" s="35"/>
      <c r="G1383" s="35"/>
      <c r="H1383" s="35"/>
      <c r="I1383" s="36">
        <f>J1379+J1380+J1381</f>
        <v>90250.84</v>
      </c>
      <c r="J1383" s="36"/>
      <c r="K1383" s="37">
        <f>IF([1]Source!I1410&lt;&gt;0, ROUND(I1383/[1]Source!I1410, 2), 0)</f>
        <v>7387.92</v>
      </c>
      <c r="M1383"/>
      <c r="N1383"/>
      <c r="O1383"/>
      <c r="P1383"/>
      <c r="Q1383"/>
      <c r="AA1383" s="38">
        <f>I1383</f>
        <v>90250.84</v>
      </c>
    </row>
    <row r="1384" spans="1:33" ht="42.75" x14ac:dyDescent="0.2">
      <c r="A1384" s="31">
        <v>196</v>
      </c>
      <c r="B1384" s="31" t="str">
        <f>[1]Source!F1411</f>
        <v>5.3-1102-26-2/1</v>
      </c>
      <c r="C1384" s="31" t="str">
        <f>[1]Source!G1411</f>
        <v>Очистка лотков с решетками от снега, добавлять к 3-1102-26-1 на каждые 100 см2 изменения сечения лотка</v>
      </c>
      <c r="D1384" s="32" t="str">
        <f>[1]Source!H1411</f>
        <v>10 м</v>
      </c>
      <c r="E1384" s="4">
        <f>[1]Source!I1411</f>
        <v>12.215999999999999</v>
      </c>
      <c r="F1384" s="33"/>
      <c r="G1384" s="34"/>
      <c r="H1384" s="4"/>
      <c r="I1384" s="4"/>
      <c r="J1384" s="33"/>
      <c r="K1384" s="33"/>
      <c r="M1384"/>
      <c r="N1384"/>
      <c r="O1384"/>
      <c r="P1384"/>
      <c r="Q1384"/>
      <c r="AB1384">
        <f>ROUND(([1]Source!BZ1411/100)*ROUND(([1]Source!AF1411*[1]Source!AV1411)*[1]Source!I1411, 2), 2)</f>
        <v>7115.67</v>
      </c>
      <c r="AC1384">
        <f>[1]Source!X1411</f>
        <v>7115.67</v>
      </c>
      <c r="AD1384">
        <f>ROUND(([1]Source!CA1411/100)*ROUND(([1]Source!AF1411*[1]Source!AV1411)*[1]Source!I1411, 2), 2)</f>
        <v>1016.52</v>
      </c>
      <c r="AE1384">
        <f>[1]Source!Y1411</f>
        <v>1016.52</v>
      </c>
      <c r="AF1384">
        <f>ROUND((175/100)*ROUND(([1]Source!AE1411*[1]Source!AV1411)*[1]Source!I1411, 2), 2)</f>
        <v>0</v>
      </c>
      <c r="AG1384">
        <f>ROUND((108/100)*ROUND([1]Source!CS1411*[1]Source!I1411, 2), 2)</f>
        <v>0</v>
      </c>
    </row>
    <row r="1385" spans="1:33" x14ac:dyDescent="0.2">
      <c r="C1385" s="40" t="str">
        <f>"Объем: "&amp;[1]Source!I1411&amp;"=122,16/"&amp;"10"</f>
        <v>Объем: 12,216=122,16/10</v>
      </c>
      <c r="M1385"/>
      <c r="N1385"/>
      <c r="O1385"/>
      <c r="P1385"/>
      <c r="Q1385"/>
    </row>
    <row r="1386" spans="1:33" ht="28.5" x14ac:dyDescent="0.2">
      <c r="A1386" s="31"/>
      <c r="B1386" s="31"/>
      <c r="C1386" s="31" t="s">
        <v>34</v>
      </c>
      <c r="D1386" s="32"/>
      <c r="E1386" s="4"/>
      <c r="F1386" s="33">
        <f>[1]Source!AO1411</f>
        <v>22.19</v>
      </c>
      <c r="G1386" s="34" t="str">
        <f>[1]Source!DG1411</f>
        <v>)*1*1,875*20</v>
      </c>
      <c r="H1386" s="4">
        <f>[1]Source!AV1411</f>
        <v>1</v>
      </c>
      <c r="I1386" s="4">
        <f>IF([1]Source!BA1411&lt;&gt; 0, [1]Source!BA1411, 1)</f>
        <v>1</v>
      </c>
      <c r="J1386" s="33">
        <f>[1]Source!S1411</f>
        <v>10165.24</v>
      </c>
      <c r="K1386" s="33"/>
      <c r="M1386"/>
      <c r="N1386"/>
      <c r="O1386"/>
      <c r="P1386"/>
      <c r="Q1386"/>
    </row>
    <row r="1387" spans="1:33" ht="14.25" x14ac:dyDescent="0.2">
      <c r="A1387" s="31"/>
      <c r="B1387" s="31"/>
      <c r="C1387" s="31" t="s">
        <v>40</v>
      </c>
      <c r="D1387" s="32" t="s">
        <v>39</v>
      </c>
      <c r="E1387" s="4">
        <f>[1]Source!AT1411</f>
        <v>70</v>
      </c>
      <c r="F1387" s="33"/>
      <c r="G1387" s="34"/>
      <c r="H1387" s="4"/>
      <c r="I1387" s="4"/>
      <c r="J1387" s="33">
        <f>SUM(AC1384:AC1386)</f>
        <v>7115.67</v>
      </c>
      <c r="K1387" s="33"/>
      <c r="M1387"/>
      <c r="N1387"/>
      <c r="O1387"/>
      <c r="P1387"/>
      <c r="Q1387"/>
    </row>
    <row r="1388" spans="1:33" ht="14.25" x14ac:dyDescent="0.2">
      <c r="A1388" s="31"/>
      <c r="B1388" s="31"/>
      <c r="C1388" s="31" t="s">
        <v>41</v>
      </c>
      <c r="D1388" s="32" t="s">
        <v>39</v>
      </c>
      <c r="E1388" s="4">
        <f>[1]Source!AU1411</f>
        <v>10</v>
      </c>
      <c r="F1388" s="33"/>
      <c r="G1388" s="34"/>
      <c r="H1388" s="4"/>
      <c r="I1388" s="4"/>
      <c r="J1388" s="33">
        <f>SUM(AE1384:AE1387)</f>
        <v>1016.52</v>
      </c>
      <c r="K1388" s="33"/>
      <c r="M1388"/>
      <c r="N1388"/>
      <c r="O1388"/>
      <c r="P1388"/>
      <c r="Q1388"/>
    </row>
    <row r="1389" spans="1:33" ht="28.5" x14ac:dyDescent="0.2">
      <c r="A1389" s="31"/>
      <c r="B1389" s="31"/>
      <c r="C1389" s="31" t="s">
        <v>42</v>
      </c>
      <c r="D1389" s="32" t="s">
        <v>43</v>
      </c>
      <c r="E1389" s="4">
        <f>[1]Source!AQ1411</f>
        <v>0.08</v>
      </c>
      <c r="F1389" s="33"/>
      <c r="G1389" s="34" t="str">
        <f>[1]Source!DI1411</f>
        <v>)*1*1,875*20</v>
      </c>
      <c r="H1389" s="4">
        <f>[1]Source!AV1411</f>
        <v>1</v>
      </c>
      <c r="I1389" s="4"/>
      <c r="J1389" s="33"/>
      <c r="K1389" s="33">
        <f>[1]Source!U1411</f>
        <v>36.647999999999996</v>
      </c>
      <c r="M1389"/>
      <c r="N1389"/>
      <c r="O1389"/>
      <c r="P1389"/>
      <c r="Q1389"/>
    </row>
    <row r="1390" spans="1:33" ht="15" x14ac:dyDescent="0.25">
      <c r="A1390" s="35"/>
      <c r="B1390" s="35"/>
      <c r="C1390" s="35"/>
      <c r="D1390" s="35"/>
      <c r="E1390" s="35"/>
      <c r="F1390" s="35"/>
      <c r="G1390" s="35"/>
      <c r="H1390" s="35"/>
      <c r="I1390" s="36">
        <f>J1386+J1387+J1388</f>
        <v>18297.43</v>
      </c>
      <c r="J1390" s="36"/>
      <c r="K1390" s="37">
        <f>IF([1]Source!I1411&lt;&gt;0, ROUND(I1390/[1]Source!I1411, 2), 0)</f>
        <v>1497.82</v>
      </c>
      <c r="M1390"/>
      <c r="N1390"/>
      <c r="O1390"/>
      <c r="P1390"/>
      <c r="Q1390"/>
      <c r="AA1390" s="38">
        <f>I1390</f>
        <v>18297.43</v>
      </c>
    </row>
    <row r="1391" spans="1:33" ht="57" x14ac:dyDescent="0.2">
      <c r="A1391" s="31">
        <v>197</v>
      </c>
      <c r="B1391" s="31" t="str">
        <f>[1]Source!F1412</f>
        <v>5.3-1102-26-1/1</v>
      </c>
      <c r="C1391" s="31" t="str">
        <f>[1]Source!G1412</f>
        <v>Очистка лотков с решетками от снега, сечение лотка 100 см2, количество креплений решеток 20 шт.( сечение 300 см2)</v>
      </c>
      <c r="D1391" s="32" t="str">
        <f>[1]Source!H1412</f>
        <v>10 м</v>
      </c>
      <c r="E1391" s="4">
        <f>[1]Source!I1412</f>
        <v>24.039000000000001</v>
      </c>
      <c r="F1391" s="33"/>
      <c r="G1391" s="34"/>
      <c r="H1391" s="4"/>
      <c r="I1391" s="4"/>
      <c r="J1391" s="33"/>
      <c r="K1391" s="33"/>
      <c r="M1391"/>
      <c r="N1391"/>
      <c r="O1391"/>
      <c r="P1391"/>
      <c r="Q1391"/>
      <c r="AB1391">
        <f>ROUND(([1]Source!BZ1412/100)*ROUND(([1]Source!AF1412*[1]Source!AV1412)*[1]Source!I1412, 2), 2)</f>
        <v>69065.97</v>
      </c>
      <c r="AC1391">
        <f>[1]Source!X1412</f>
        <v>69065.97</v>
      </c>
      <c r="AD1391">
        <f>ROUND(([1]Source!CA1412/100)*ROUND(([1]Source!AF1412*[1]Source!AV1412)*[1]Source!I1412, 2), 2)</f>
        <v>9866.57</v>
      </c>
      <c r="AE1391">
        <f>[1]Source!Y1412</f>
        <v>9866.57</v>
      </c>
      <c r="AF1391">
        <f>ROUND((175/100)*ROUND(([1]Source!AE1412*[1]Source!AV1412)*[1]Source!I1412, 2), 2)</f>
        <v>0</v>
      </c>
      <c r="AG1391">
        <f>ROUND((108/100)*ROUND([1]Source!CS1412*[1]Source!I1412, 2), 2)</f>
        <v>0</v>
      </c>
    </row>
    <row r="1392" spans="1:33" x14ac:dyDescent="0.2">
      <c r="C1392" s="40" t="str">
        <f>"Объем: "&amp;[1]Source!I1412&amp;"=240,39/"&amp;"10"</f>
        <v>Объем: 24,039=240,39/10</v>
      </c>
      <c r="M1392"/>
      <c r="N1392"/>
      <c r="O1392"/>
      <c r="P1392"/>
      <c r="Q1392"/>
    </row>
    <row r="1393" spans="1:33" ht="14.25" x14ac:dyDescent="0.2">
      <c r="A1393" s="31"/>
      <c r="B1393" s="31"/>
      <c r="C1393" s="31" t="s">
        <v>34</v>
      </c>
      <c r="D1393" s="32"/>
      <c r="E1393" s="4"/>
      <c r="F1393" s="33">
        <f>[1]Source!AO1412</f>
        <v>205.22</v>
      </c>
      <c r="G1393" s="34" t="str">
        <f>[1]Source!DG1412</f>
        <v>)*1*20</v>
      </c>
      <c r="H1393" s="4">
        <f>[1]Source!AV1412</f>
        <v>1</v>
      </c>
      <c r="I1393" s="4">
        <f>IF([1]Source!BA1412&lt;&gt; 0, [1]Source!BA1412, 1)</f>
        <v>1</v>
      </c>
      <c r="J1393" s="33">
        <f>[1]Source!S1412</f>
        <v>98665.67</v>
      </c>
      <c r="K1393" s="33"/>
      <c r="M1393"/>
      <c r="N1393"/>
      <c r="O1393"/>
      <c r="P1393"/>
      <c r="Q1393"/>
    </row>
    <row r="1394" spans="1:33" ht="14.25" x14ac:dyDescent="0.2">
      <c r="A1394" s="31"/>
      <c r="B1394" s="31"/>
      <c r="C1394" s="31" t="s">
        <v>40</v>
      </c>
      <c r="D1394" s="32" t="s">
        <v>39</v>
      </c>
      <c r="E1394" s="4">
        <f>[1]Source!AT1412</f>
        <v>70</v>
      </c>
      <c r="F1394" s="33"/>
      <c r="G1394" s="34"/>
      <c r="H1394" s="4"/>
      <c r="I1394" s="4"/>
      <c r="J1394" s="33">
        <f>SUM(AC1391:AC1393)</f>
        <v>69065.97</v>
      </c>
      <c r="K1394" s="33"/>
      <c r="M1394"/>
      <c r="N1394"/>
      <c r="O1394"/>
      <c r="P1394"/>
      <c r="Q1394"/>
    </row>
    <row r="1395" spans="1:33" ht="14.25" x14ac:dyDescent="0.2">
      <c r="A1395" s="31"/>
      <c r="B1395" s="31"/>
      <c r="C1395" s="31" t="s">
        <v>41</v>
      </c>
      <c r="D1395" s="32" t="s">
        <v>39</v>
      </c>
      <c r="E1395" s="4">
        <f>[1]Source!AU1412</f>
        <v>10</v>
      </c>
      <c r="F1395" s="33"/>
      <c r="G1395" s="34"/>
      <c r="H1395" s="4"/>
      <c r="I1395" s="4"/>
      <c r="J1395" s="33">
        <f>SUM(AE1391:AE1394)</f>
        <v>9866.57</v>
      </c>
      <c r="K1395" s="33"/>
      <c r="M1395"/>
      <c r="N1395"/>
      <c r="O1395"/>
      <c r="P1395"/>
      <c r="Q1395"/>
    </row>
    <row r="1396" spans="1:33" ht="14.25" x14ac:dyDescent="0.2">
      <c r="A1396" s="31"/>
      <c r="B1396" s="31"/>
      <c r="C1396" s="31" t="s">
        <v>42</v>
      </c>
      <c r="D1396" s="32" t="s">
        <v>43</v>
      </c>
      <c r="E1396" s="4">
        <f>[1]Source!AQ1412</f>
        <v>0.74</v>
      </c>
      <c r="F1396" s="33"/>
      <c r="G1396" s="34" t="str">
        <f>[1]Source!DI1412</f>
        <v>)*1*20</v>
      </c>
      <c r="H1396" s="4">
        <f>[1]Source!AV1412</f>
        <v>1</v>
      </c>
      <c r="I1396" s="4"/>
      <c r="J1396" s="33"/>
      <c r="K1396" s="33">
        <f>[1]Source!U1412</f>
        <v>355.77720000000005</v>
      </c>
      <c r="M1396"/>
      <c r="N1396"/>
      <c r="O1396"/>
      <c r="P1396"/>
      <c r="Q1396"/>
    </row>
    <row r="1397" spans="1:33" ht="15" x14ac:dyDescent="0.25">
      <c r="A1397" s="35"/>
      <c r="B1397" s="35"/>
      <c r="C1397" s="35"/>
      <c r="D1397" s="35"/>
      <c r="E1397" s="35"/>
      <c r="F1397" s="35"/>
      <c r="G1397" s="35"/>
      <c r="H1397" s="35"/>
      <c r="I1397" s="36">
        <f>J1393+J1394+J1395</f>
        <v>177598.21000000002</v>
      </c>
      <c r="J1397" s="36"/>
      <c r="K1397" s="37">
        <f>IF([1]Source!I1412&lt;&gt;0, ROUND(I1397/[1]Source!I1412, 2), 0)</f>
        <v>7387.92</v>
      </c>
      <c r="M1397"/>
      <c r="N1397"/>
      <c r="O1397"/>
      <c r="P1397"/>
      <c r="Q1397"/>
      <c r="AA1397" s="38">
        <f>I1397</f>
        <v>177598.21000000002</v>
      </c>
    </row>
    <row r="1398" spans="1:33" ht="42.75" x14ac:dyDescent="0.2">
      <c r="A1398" s="31">
        <v>198</v>
      </c>
      <c r="B1398" s="31" t="str">
        <f>[1]Source!F1413</f>
        <v>5.3-1102-26-2/1</v>
      </c>
      <c r="C1398" s="31" t="str">
        <f>[1]Source!G1413</f>
        <v>Очистка лотков с решетками от снега, добавлять к 3-1102-26-1 на каждые 100 см2 изменения сечения лотка</v>
      </c>
      <c r="D1398" s="32" t="str">
        <f>[1]Source!H1413</f>
        <v>10 м</v>
      </c>
      <c r="E1398" s="4">
        <f>[1]Source!I1413</f>
        <v>24.039000000000001</v>
      </c>
      <c r="F1398" s="33"/>
      <c r="G1398" s="34"/>
      <c r="H1398" s="4"/>
      <c r="I1398" s="4"/>
      <c r="J1398" s="33"/>
      <c r="K1398" s="33"/>
      <c r="M1398"/>
      <c r="N1398"/>
      <c r="O1398"/>
      <c r="P1398"/>
      <c r="Q1398"/>
      <c r="AB1398">
        <f>ROUND(([1]Source!BZ1413/100)*ROUND(([1]Source!AF1413*[1]Source!AV1413)*[1]Source!I1413, 2), 2)</f>
        <v>14935.91</v>
      </c>
      <c r="AC1398">
        <f>[1]Source!X1413</f>
        <v>14935.91</v>
      </c>
      <c r="AD1398">
        <f>ROUND(([1]Source!CA1413/100)*ROUND(([1]Source!AF1413*[1]Source!AV1413)*[1]Source!I1413, 2), 2)</f>
        <v>2133.6999999999998</v>
      </c>
      <c r="AE1398">
        <f>[1]Source!Y1413</f>
        <v>2133.6999999999998</v>
      </c>
      <c r="AF1398">
        <f>ROUND((175/100)*ROUND(([1]Source!AE1413*[1]Source!AV1413)*[1]Source!I1413, 2), 2)</f>
        <v>0</v>
      </c>
      <c r="AG1398">
        <f>ROUND((108/100)*ROUND([1]Source!CS1413*[1]Source!I1413, 2), 2)</f>
        <v>0</v>
      </c>
    </row>
    <row r="1399" spans="1:33" x14ac:dyDescent="0.2">
      <c r="C1399" s="40" t="str">
        <f>"Объем: "&amp;[1]Source!I1413&amp;"=240,39/"&amp;"10"</f>
        <v>Объем: 24,039=240,39/10</v>
      </c>
      <c r="M1399"/>
      <c r="N1399"/>
      <c r="O1399"/>
      <c r="P1399"/>
      <c r="Q1399"/>
    </row>
    <row r="1400" spans="1:33" ht="14.25" x14ac:dyDescent="0.2">
      <c r="A1400" s="31"/>
      <c r="B1400" s="31"/>
      <c r="C1400" s="31" t="s">
        <v>34</v>
      </c>
      <c r="D1400" s="32"/>
      <c r="E1400" s="4"/>
      <c r="F1400" s="33">
        <f>[1]Source!AO1413</f>
        <v>22.19</v>
      </c>
      <c r="G1400" s="34" t="str">
        <f>[1]Source!DG1413</f>
        <v>)*1*2*20</v>
      </c>
      <c r="H1400" s="4">
        <f>[1]Source!AV1413</f>
        <v>1</v>
      </c>
      <c r="I1400" s="4">
        <f>IF([1]Source!BA1413&lt;&gt; 0, [1]Source!BA1413, 1)</f>
        <v>1</v>
      </c>
      <c r="J1400" s="33">
        <f>[1]Source!S1413</f>
        <v>21337.02</v>
      </c>
      <c r="K1400" s="33"/>
      <c r="M1400"/>
      <c r="N1400"/>
      <c r="O1400"/>
      <c r="P1400"/>
      <c r="Q1400"/>
    </row>
    <row r="1401" spans="1:33" ht="14.25" x14ac:dyDescent="0.2">
      <c r="A1401" s="31"/>
      <c r="B1401" s="31"/>
      <c r="C1401" s="31" t="s">
        <v>40</v>
      </c>
      <c r="D1401" s="32" t="s">
        <v>39</v>
      </c>
      <c r="E1401" s="4">
        <f>[1]Source!AT1413</f>
        <v>70</v>
      </c>
      <c r="F1401" s="33"/>
      <c r="G1401" s="34"/>
      <c r="H1401" s="4"/>
      <c r="I1401" s="4"/>
      <c r="J1401" s="33">
        <f>SUM(AC1398:AC1400)</f>
        <v>14935.91</v>
      </c>
      <c r="K1401" s="33"/>
      <c r="M1401"/>
      <c r="N1401"/>
      <c r="O1401"/>
      <c r="P1401"/>
      <c r="Q1401"/>
    </row>
    <row r="1402" spans="1:33" ht="14.25" x14ac:dyDescent="0.2">
      <c r="A1402" s="31"/>
      <c r="B1402" s="31"/>
      <c r="C1402" s="31" t="s">
        <v>41</v>
      </c>
      <c r="D1402" s="32" t="s">
        <v>39</v>
      </c>
      <c r="E1402" s="4">
        <f>[1]Source!AU1413</f>
        <v>10</v>
      </c>
      <c r="F1402" s="33"/>
      <c r="G1402" s="34"/>
      <c r="H1402" s="4"/>
      <c r="I1402" s="4"/>
      <c r="J1402" s="33">
        <f>SUM(AE1398:AE1401)</f>
        <v>2133.6999999999998</v>
      </c>
      <c r="K1402" s="33"/>
      <c r="M1402"/>
      <c r="N1402"/>
      <c r="O1402"/>
      <c r="P1402"/>
      <c r="Q1402"/>
    </row>
    <row r="1403" spans="1:33" ht="14.25" x14ac:dyDescent="0.2">
      <c r="A1403" s="31"/>
      <c r="B1403" s="31"/>
      <c r="C1403" s="31" t="s">
        <v>42</v>
      </c>
      <c r="D1403" s="32" t="s">
        <v>43</v>
      </c>
      <c r="E1403" s="4">
        <f>[1]Source!AQ1413</f>
        <v>0.08</v>
      </c>
      <c r="F1403" s="33"/>
      <c r="G1403" s="34" t="str">
        <f>[1]Source!DI1413</f>
        <v>)*1*2*20</v>
      </c>
      <c r="H1403" s="4">
        <f>[1]Source!AV1413</f>
        <v>1</v>
      </c>
      <c r="I1403" s="4"/>
      <c r="J1403" s="33"/>
      <c r="K1403" s="33">
        <f>[1]Source!U1413</f>
        <v>76.924800000000005</v>
      </c>
      <c r="M1403"/>
      <c r="N1403"/>
      <c r="O1403"/>
      <c r="P1403"/>
      <c r="Q1403"/>
    </row>
    <row r="1404" spans="1:33" ht="15" x14ac:dyDescent="0.25">
      <c r="A1404" s="35"/>
      <c r="B1404" s="35"/>
      <c r="C1404" s="35"/>
      <c r="D1404" s="35"/>
      <c r="E1404" s="35"/>
      <c r="F1404" s="35"/>
      <c r="G1404" s="35"/>
      <c r="H1404" s="35"/>
      <c r="I1404" s="36">
        <f>J1400+J1401+J1402</f>
        <v>38406.629999999997</v>
      </c>
      <c r="J1404" s="36"/>
      <c r="K1404" s="37">
        <f>IF([1]Source!I1413&lt;&gt;0, ROUND(I1404/[1]Source!I1413, 2), 0)</f>
        <v>1597.68</v>
      </c>
      <c r="M1404"/>
      <c r="N1404"/>
      <c r="O1404"/>
      <c r="P1404"/>
      <c r="Q1404"/>
      <c r="AA1404" s="38">
        <f>I1404</f>
        <v>38406.629999999997</v>
      </c>
    </row>
    <row r="1405" spans="1:33" ht="57" x14ac:dyDescent="0.2">
      <c r="A1405" s="31">
        <v>199</v>
      </c>
      <c r="B1405" s="31" t="str">
        <f>[1]Source!F1414</f>
        <v>5.3-1102-26-1/1</v>
      </c>
      <c r="C1405" s="31" t="str">
        <f>[1]Source!G1414</f>
        <v>Очистка лотков с решетками от снега, сечение лотка 100 см2, количество креплений решеток 20 шт.( сечение 350 см2)</v>
      </c>
      <c r="D1405" s="32" t="str">
        <f>[1]Source!H1414</f>
        <v>10 м</v>
      </c>
      <c r="E1405" s="4">
        <f>[1]Source!I1414</f>
        <v>4.4139999999999997</v>
      </c>
      <c r="F1405" s="33"/>
      <c r="G1405" s="34"/>
      <c r="H1405" s="4"/>
      <c r="I1405" s="4"/>
      <c r="J1405" s="33"/>
      <c r="K1405" s="33"/>
      <c r="M1405"/>
      <c r="N1405"/>
      <c r="O1405"/>
      <c r="P1405"/>
      <c r="Q1405"/>
      <c r="AB1405">
        <f>ROUND(([1]Source!BZ1414/100)*ROUND(([1]Source!AF1414*[1]Source!AV1414)*[1]Source!I1414, 2), 2)</f>
        <v>12681.77</v>
      </c>
      <c r="AC1405">
        <f>[1]Source!X1414</f>
        <v>12681.77</v>
      </c>
      <c r="AD1405">
        <f>ROUND(([1]Source!CA1414/100)*ROUND(([1]Source!AF1414*[1]Source!AV1414)*[1]Source!I1414, 2), 2)</f>
        <v>1811.68</v>
      </c>
      <c r="AE1405">
        <f>[1]Source!Y1414</f>
        <v>1811.68</v>
      </c>
      <c r="AF1405">
        <f>ROUND((175/100)*ROUND(([1]Source!AE1414*[1]Source!AV1414)*[1]Source!I1414, 2), 2)</f>
        <v>0</v>
      </c>
      <c r="AG1405">
        <f>ROUND((108/100)*ROUND([1]Source!CS1414*[1]Source!I1414, 2), 2)</f>
        <v>0</v>
      </c>
    </row>
    <row r="1406" spans="1:33" x14ac:dyDescent="0.2">
      <c r="C1406" s="40" t="str">
        <f>"Объем: "&amp;[1]Source!I1414&amp;"=44,14/"&amp;"10"</f>
        <v>Объем: 4,414=44,14/10</v>
      </c>
      <c r="M1406"/>
      <c r="N1406"/>
      <c r="O1406"/>
      <c r="P1406"/>
      <c r="Q1406"/>
    </row>
    <row r="1407" spans="1:33" ht="14.25" x14ac:dyDescent="0.2">
      <c r="A1407" s="31"/>
      <c r="B1407" s="31"/>
      <c r="C1407" s="31" t="s">
        <v>34</v>
      </c>
      <c r="D1407" s="32"/>
      <c r="E1407" s="4"/>
      <c r="F1407" s="33">
        <f>[1]Source!AO1414</f>
        <v>205.22</v>
      </c>
      <c r="G1407" s="34" t="str">
        <f>[1]Source!DG1414</f>
        <v>)*1*20</v>
      </c>
      <c r="H1407" s="4">
        <f>[1]Source!AV1414</f>
        <v>1</v>
      </c>
      <c r="I1407" s="4">
        <f>IF([1]Source!BA1414&lt;&gt; 0, [1]Source!BA1414, 1)</f>
        <v>1</v>
      </c>
      <c r="J1407" s="33">
        <f>[1]Source!S1414</f>
        <v>18116.82</v>
      </c>
      <c r="K1407" s="33"/>
      <c r="M1407"/>
      <c r="N1407"/>
      <c r="O1407"/>
      <c r="P1407"/>
      <c r="Q1407"/>
    </row>
    <row r="1408" spans="1:33" ht="14.25" x14ac:dyDescent="0.2">
      <c r="A1408" s="31"/>
      <c r="B1408" s="31"/>
      <c r="C1408" s="31" t="s">
        <v>40</v>
      </c>
      <c r="D1408" s="32" t="s">
        <v>39</v>
      </c>
      <c r="E1408" s="4">
        <f>[1]Source!AT1414</f>
        <v>70</v>
      </c>
      <c r="F1408" s="33"/>
      <c r="G1408" s="34"/>
      <c r="H1408" s="4"/>
      <c r="I1408" s="4"/>
      <c r="J1408" s="33">
        <f>SUM(AC1405:AC1407)</f>
        <v>12681.77</v>
      </c>
      <c r="K1408" s="33"/>
      <c r="M1408"/>
      <c r="N1408"/>
      <c r="O1408"/>
      <c r="P1408"/>
      <c r="Q1408"/>
    </row>
    <row r="1409" spans="1:33" ht="14.25" x14ac:dyDescent="0.2">
      <c r="A1409" s="31"/>
      <c r="B1409" s="31"/>
      <c r="C1409" s="31" t="s">
        <v>41</v>
      </c>
      <c r="D1409" s="32" t="s">
        <v>39</v>
      </c>
      <c r="E1409" s="4">
        <f>[1]Source!AU1414</f>
        <v>10</v>
      </c>
      <c r="F1409" s="33"/>
      <c r="G1409" s="34"/>
      <c r="H1409" s="4"/>
      <c r="I1409" s="4"/>
      <c r="J1409" s="33">
        <f>SUM(AE1405:AE1408)</f>
        <v>1811.68</v>
      </c>
      <c r="K1409" s="33"/>
      <c r="M1409"/>
      <c r="N1409"/>
      <c r="O1409"/>
      <c r="P1409"/>
      <c r="Q1409"/>
    </row>
    <row r="1410" spans="1:33" ht="14.25" x14ac:dyDescent="0.2">
      <c r="A1410" s="31"/>
      <c r="B1410" s="31"/>
      <c r="C1410" s="31" t="s">
        <v>42</v>
      </c>
      <c r="D1410" s="32" t="s">
        <v>43</v>
      </c>
      <c r="E1410" s="4">
        <f>[1]Source!AQ1414</f>
        <v>0.74</v>
      </c>
      <c r="F1410" s="33"/>
      <c r="G1410" s="34" t="str">
        <f>[1]Source!DI1414</f>
        <v>)*1*20</v>
      </c>
      <c r="H1410" s="4">
        <f>[1]Source!AV1414</f>
        <v>1</v>
      </c>
      <c r="I1410" s="4"/>
      <c r="J1410" s="33"/>
      <c r="K1410" s="33">
        <f>[1]Source!U1414</f>
        <v>65.327200000000005</v>
      </c>
      <c r="M1410"/>
      <c r="N1410"/>
      <c r="O1410"/>
      <c r="P1410"/>
      <c r="Q1410"/>
    </row>
    <row r="1411" spans="1:33" ht="15" x14ac:dyDescent="0.25">
      <c r="A1411" s="35"/>
      <c r="B1411" s="35"/>
      <c r="C1411" s="35"/>
      <c r="D1411" s="35"/>
      <c r="E1411" s="35"/>
      <c r="F1411" s="35"/>
      <c r="G1411" s="35"/>
      <c r="H1411" s="35"/>
      <c r="I1411" s="36">
        <f>J1407+J1408+J1409</f>
        <v>32610.27</v>
      </c>
      <c r="J1411" s="36"/>
      <c r="K1411" s="37">
        <f>IF([1]Source!I1414&lt;&gt;0, ROUND(I1411/[1]Source!I1414, 2), 0)</f>
        <v>7387.92</v>
      </c>
      <c r="M1411"/>
      <c r="N1411"/>
      <c r="O1411"/>
      <c r="P1411"/>
      <c r="Q1411"/>
      <c r="AA1411" s="38">
        <f>I1411</f>
        <v>32610.27</v>
      </c>
    </row>
    <row r="1412" spans="1:33" ht="42.75" x14ac:dyDescent="0.2">
      <c r="A1412" s="31">
        <v>200</v>
      </c>
      <c r="B1412" s="31" t="str">
        <f>[1]Source!F1415</f>
        <v>5.3-1102-26-2/1</v>
      </c>
      <c r="C1412" s="31" t="str">
        <f>[1]Source!G1415</f>
        <v>Очистка лотков с решетками от снега, добавлять к 3-1102-26-1 на каждые 100 см2 изменения сечения лотка</v>
      </c>
      <c r="D1412" s="32" t="str">
        <f>[1]Source!H1415</f>
        <v>10 м</v>
      </c>
      <c r="E1412" s="4">
        <f>[1]Source!I1415</f>
        <v>4.4139999999999997</v>
      </c>
      <c r="F1412" s="33"/>
      <c r="G1412" s="34"/>
      <c r="H1412" s="4"/>
      <c r="I1412" s="4"/>
      <c r="J1412" s="33"/>
      <c r="K1412" s="33"/>
      <c r="M1412"/>
      <c r="N1412"/>
      <c r="O1412"/>
      <c r="P1412"/>
      <c r="Q1412"/>
      <c r="AB1412">
        <f>ROUND(([1]Source!BZ1415/100)*ROUND(([1]Source!AF1415*[1]Source!AV1415)*[1]Source!I1415, 2), 2)</f>
        <v>3428.13</v>
      </c>
      <c r="AC1412">
        <f>[1]Source!X1415</f>
        <v>3428.13</v>
      </c>
      <c r="AD1412">
        <f>ROUND(([1]Source!CA1415/100)*ROUND(([1]Source!AF1415*[1]Source!AV1415)*[1]Source!I1415, 2), 2)</f>
        <v>489.73</v>
      </c>
      <c r="AE1412">
        <f>[1]Source!Y1415</f>
        <v>489.73</v>
      </c>
      <c r="AF1412">
        <f>ROUND((175/100)*ROUND(([1]Source!AE1415*[1]Source!AV1415)*[1]Source!I1415, 2), 2)</f>
        <v>0</v>
      </c>
      <c r="AG1412">
        <f>ROUND((108/100)*ROUND([1]Source!CS1415*[1]Source!I1415, 2), 2)</f>
        <v>0</v>
      </c>
    </row>
    <row r="1413" spans="1:33" x14ac:dyDescent="0.2">
      <c r="C1413" s="40" t="str">
        <f>"Объем: "&amp;[1]Source!I1415&amp;"=44,14/"&amp;"10"</f>
        <v>Объем: 4,414=44,14/10</v>
      </c>
      <c r="M1413"/>
      <c r="N1413"/>
      <c r="O1413"/>
      <c r="P1413"/>
      <c r="Q1413"/>
    </row>
    <row r="1414" spans="1:33" ht="14.25" x14ac:dyDescent="0.2">
      <c r="A1414" s="31"/>
      <c r="B1414" s="31"/>
      <c r="C1414" s="31" t="s">
        <v>34</v>
      </c>
      <c r="D1414" s="32"/>
      <c r="E1414" s="4"/>
      <c r="F1414" s="33">
        <f>[1]Source!AO1415</f>
        <v>22.19</v>
      </c>
      <c r="G1414" s="34" t="str">
        <f>[1]Source!DG1415</f>
        <v>)*1*2,5*20</v>
      </c>
      <c r="H1414" s="4">
        <f>[1]Source!AV1415</f>
        <v>1</v>
      </c>
      <c r="I1414" s="4">
        <f>IF([1]Source!BA1415&lt;&gt; 0, [1]Source!BA1415, 1)</f>
        <v>1</v>
      </c>
      <c r="J1414" s="33">
        <f>[1]Source!S1415</f>
        <v>4897.33</v>
      </c>
      <c r="K1414" s="33"/>
      <c r="M1414"/>
      <c r="N1414"/>
      <c r="O1414"/>
      <c r="P1414"/>
      <c r="Q1414"/>
    </row>
    <row r="1415" spans="1:33" ht="14.25" x14ac:dyDescent="0.2">
      <c r="A1415" s="31"/>
      <c r="B1415" s="31"/>
      <c r="C1415" s="31" t="s">
        <v>40</v>
      </c>
      <c r="D1415" s="32" t="s">
        <v>39</v>
      </c>
      <c r="E1415" s="4">
        <f>[1]Source!AT1415</f>
        <v>70</v>
      </c>
      <c r="F1415" s="33"/>
      <c r="G1415" s="34"/>
      <c r="H1415" s="4"/>
      <c r="I1415" s="4"/>
      <c r="J1415" s="33">
        <f>SUM(AC1412:AC1414)</f>
        <v>3428.13</v>
      </c>
      <c r="K1415" s="33"/>
      <c r="M1415"/>
      <c r="N1415"/>
      <c r="O1415"/>
      <c r="P1415"/>
      <c r="Q1415"/>
    </row>
    <row r="1416" spans="1:33" ht="14.25" x14ac:dyDescent="0.2">
      <c r="A1416" s="31"/>
      <c r="B1416" s="31"/>
      <c r="C1416" s="31" t="s">
        <v>41</v>
      </c>
      <c r="D1416" s="32" t="s">
        <v>39</v>
      </c>
      <c r="E1416" s="4">
        <f>[1]Source!AU1415</f>
        <v>10</v>
      </c>
      <c r="F1416" s="33"/>
      <c r="G1416" s="34"/>
      <c r="H1416" s="4"/>
      <c r="I1416" s="4"/>
      <c r="J1416" s="33">
        <f>SUM(AE1412:AE1415)</f>
        <v>489.73</v>
      </c>
      <c r="K1416" s="33"/>
      <c r="M1416"/>
      <c r="N1416"/>
      <c r="O1416"/>
      <c r="P1416"/>
      <c r="Q1416"/>
    </row>
    <row r="1417" spans="1:33" ht="14.25" x14ac:dyDescent="0.2">
      <c r="A1417" s="31"/>
      <c r="B1417" s="31"/>
      <c r="C1417" s="31" t="s">
        <v>42</v>
      </c>
      <c r="D1417" s="32" t="s">
        <v>43</v>
      </c>
      <c r="E1417" s="4">
        <f>[1]Source!AQ1415</f>
        <v>0.08</v>
      </c>
      <c r="F1417" s="33"/>
      <c r="G1417" s="34" t="str">
        <f>[1]Source!DI1415</f>
        <v>)*1*2,5*20</v>
      </c>
      <c r="H1417" s="4">
        <f>[1]Source!AV1415</f>
        <v>1</v>
      </c>
      <c r="I1417" s="4"/>
      <c r="J1417" s="33"/>
      <c r="K1417" s="33">
        <f>[1]Source!U1415</f>
        <v>17.655999999999999</v>
      </c>
      <c r="M1417"/>
      <c r="N1417"/>
      <c r="O1417"/>
      <c r="P1417"/>
      <c r="Q1417"/>
    </row>
    <row r="1418" spans="1:33" ht="15" x14ac:dyDescent="0.25">
      <c r="A1418" s="35"/>
      <c r="B1418" s="35"/>
      <c r="C1418" s="35"/>
      <c r="D1418" s="35"/>
      <c r="E1418" s="35"/>
      <c r="F1418" s="35"/>
      <c r="G1418" s="35"/>
      <c r="H1418" s="35"/>
      <c r="I1418" s="36">
        <f>J1414+J1415+J1416</f>
        <v>8815.1899999999987</v>
      </c>
      <c r="J1418" s="36"/>
      <c r="K1418" s="37">
        <f>IF([1]Source!I1415&lt;&gt;0, ROUND(I1418/[1]Source!I1415, 2), 0)</f>
        <v>1997.1</v>
      </c>
      <c r="M1418"/>
      <c r="N1418"/>
      <c r="O1418"/>
      <c r="P1418"/>
      <c r="Q1418"/>
      <c r="AA1418" s="38">
        <f>I1418</f>
        <v>8815.1899999999987</v>
      </c>
    </row>
    <row r="1419" spans="1:33" ht="57" x14ac:dyDescent="0.2">
      <c r="A1419" s="31">
        <v>201</v>
      </c>
      <c r="B1419" s="31" t="str">
        <f>[1]Source!F1416</f>
        <v>5.3-1102-26-1/1</v>
      </c>
      <c r="C1419" s="31" t="str">
        <f>[1]Source!G1416</f>
        <v>Очистка лотков с решетками от снега, сечение лотка 100 см2, количество креплений решеток 20 шт.( сечение 400 см2)</v>
      </c>
      <c r="D1419" s="32" t="str">
        <f>[1]Source!H1416</f>
        <v>10 м</v>
      </c>
      <c r="E1419" s="4">
        <f>[1]Source!I1416</f>
        <v>9.18</v>
      </c>
      <c r="F1419" s="33"/>
      <c r="G1419" s="34"/>
      <c r="H1419" s="4"/>
      <c r="I1419" s="4"/>
      <c r="J1419" s="33"/>
      <c r="K1419" s="33"/>
      <c r="M1419"/>
      <c r="N1419"/>
      <c r="O1419"/>
      <c r="P1419"/>
      <c r="Q1419"/>
      <c r="AB1419">
        <f>ROUND(([1]Source!BZ1416/100)*ROUND(([1]Source!AF1416*[1]Source!AV1416)*[1]Source!I1416, 2), 2)</f>
        <v>26374.87</v>
      </c>
      <c r="AC1419">
        <f>[1]Source!X1416</f>
        <v>26374.87</v>
      </c>
      <c r="AD1419">
        <f>ROUND(([1]Source!CA1416/100)*ROUND(([1]Source!AF1416*[1]Source!AV1416)*[1]Source!I1416, 2), 2)</f>
        <v>3767.84</v>
      </c>
      <c r="AE1419">
        <f>[1]Source!Y1416</f>
        <v>3767.84</v>
      </c>
      <c r="AF1419">
        <f>ROUND((175/100)*ROUND(([1]Source!AE1416*[1]Source!AV1416)*[1]Source!I1416, 2), 2)</f>
        <v>0</v>
      </c>
      <c r="AG1419">
        <f>ROUND((108/100)*ROUND([1]Source!CS1416*[1]Source!I1416, 2), 2)</f>
        <v>0</v>
      </c>
    </row>
    <row r="1420" spans="1:33" x14ac:dyDescent="0.2">
      <c r="C1420" s="40" t="str">
        <f>"Объем: "&amp;[1]Source!I1416&amp;"=91,8/"&amp;"10"</f>
        <v>Объем: 9,18=91,8/10</v>
      </c>
      <c r="M1420"/>
      <c r="N1420"/>
      <c r="O1420"/>
      <c r="P1420"/>
      <c r="Q1420"/>
    </row>
    <row r="1421" spans="1:33" ht="14.25" x14ac:dyDescent="0.2">
      <c r="A1421" s="31"/>
      <c r="B1421" s="31"/>
      <c r="C1421" s="31" t="s">
        <v>34</v>
      </c>
      <c r="D1421" s="32"/>
      <c r="E1421" s="4"/>
      <c r="F1421" s="33">
        <f>[1]Source!AO1416</f>
        <v>205.22</v>
      </c>
      <c r="G1421" s="34" t="str">
        <f>[1]Source!DG1416</f>
        <v>)*1*20</v>
      </c>
      <c r="H1421" s="4">
        <f>[1]Source!AV1416</f>
        <v>1</v>
      </c>
      <c r="I1421" s="4">
        <f>IF([1]Source!BA1416&lt;&gt; 0, [1]Source!BA1416, 1)</f>
        <v>1</v>
      </c>
      <c r="J1421" s="33">
        <f>[1]Source!S1416</f>
        <v>37678.39</v>
      </c>
      <c r="K1421" s="33"/>
      <c r="M1421"/>
      <c r="N1421"/>
      <c r="O1421"/>
      <c r="P1421"/>
      <c r="Q1421"/>
    </row>
    <row r="1422" spans="1:33" ht="14.25" x14ac:dyDescent="0.2">
      <c r="A1422" s="31"/>
      <c r="B1422" s="31"/>
      <c r="C1422" s="31" t="s">
        <v>40</v>
      </c>
      <c r="D1422" s="32" t="s">
        <v>39</v>
      </c>
      <c r="E1422" s="4">
        <f>[1]Source!AT1416</f>
        <v>70</v>
      </c>
      <c r="F1422" s="33"/>
      <c r="G1422" s="34"/>
      <c r="H1422" s="4"/>
      <c r="I1422" s="4"/>
      <c r="J1422" s="33">
        <f>SUM(AC1419:AC1421)</f>
        <v>26374.87</v>
      </c>
      <c r="K1422" s="33"/>
      <c r="M1422"/>
      <c r="N1422"/>
      <c r="O1422"/>
      <c r="P1422"/>
      <c r="Q1422"/>
    </row>
    <row r="1423" spans="1:33" ht="14.25" x14ac:dyDescent="0.2">
      <c r="A1423" s="31"/>
      <c r="B1423" s="31"/>
      <c r="C1423" s="31" t="s">
        <v>41</v>
      </c>
      <c r="D1423" s="32" t="s">
        <v>39</v>
      </c>
      <c r="E1423" s="4">
        <f>[1]Source!AU1416</f>
        <v>10</v>
      </c>
      <c r="F1423" s="33"/>
      <c r="G1423" s="34"/>
      <c r="H1423" s="4"/>
      <c r="I1423" s="4"/>
      <c r="J1423" s="33">
        <f>SUM(AE1419:AE1422)</f>
        <v>3767.84</v>
      </c>
      <c r="K1423" s="33"/>
      <c r="M1423"/>
      <c r="N1423"/>
      <c r="O1423"/>
      <c r="P1423"/>
      <c r="Q1423"/>
    </row>
    <row r="1424" spans="1:33" ht="14.25" x14ac:dyDescent="0.2">
      <c r="A1424" s="31"/>
      <c r="B1424" s="31"/>
      <c r="C1424" s="31" t="s">
        <v>42</v>
      </c>
      <c r="D1424" s="32" t="s">
        <v>43</v>
      </c>
      <c r="E1424" s="4">
        <f>[1]Source!AQ1416</f>
        <v>0.74</v>
      </c>
      <c r="F1424" s="33"/>
      <c r="G1424" s="34" t="str">
        <f>[1]Source!DI1416</f>
        <v>)*1*20</v>
      </c>
      <c r="H1424" s="4">
        <f>[1]Source!AV1416</f>
        <v>1</v>
      </c>
      <c r="I1424" s="4"/>
      <c r="J1424" s="33"/>
      <c r="K1424" s="33">
        <f>[1]Source!U1416</f>
        <v>135.864</v>
      </c>
      <c r="M1424"/>
      <c r="N1424"/>
      <c r="O1424"/>
      <c r="P1424"/>
      <c r="Q1424"/>
    </row>
    <row r="1425" spans="1:33" ht="15" x14ac:dyDescent="0.25">
      <c r="A1425" s="35"/>
      <c r="B1425" s="35"/>
      <c r="C1425" s="35"/>
      <c r="D1425" s="35"/>
      <c r="E1425" s="35"/>
      <c r="F1425" s="35"/>
      <c r="G1425" s="35"/>
      <c r="H1425" s="35"/>
      <c r="I1425" s="36">
        <f>J1421+J1422+J1423</f>
        <v>67821.099999999991</v>
      </c>
      <c r="J1425" s="36"/>
      <c r="K1425" s="37">
        <f>IF([1]Source!I1416&lt;&gt;0, ROUND(I1425/[1]Source!I1416, 2), 0)</f>
        <v>7387.92</v>
      </c>
      <c r="M1425"/>
      <c r="N1425"/>
      <c r="O1425"/>
      <c r="P1425"/>
      <c r="Q1425"/>
      <c r="AA1425" s="38">
        <f>I1425</f>
        <v>67821.099999999991</v>
      </c>
    </row>
    <row r="1426" spans="1:33" ht="42.75" x14ac:dyDescent="0.2">
      <c r="A1426" s="31">
        <v>202</v>
      </c>
      <c r="B1426" s="31" t="str">
        <f>[1]Source!F1417</f>
        <v>5.3-1102-26-2/1</v>
      </c>
      <c r="C1426" s="31" t="str">
        <f>[1]Source!G1417</f>
        <v>Очистка лотков с решетками от снега, добавлять к 3-1102-26-1 на каждые 100 см2 изменения сечения лотка</v>
      </c>
      <c r="D1426" s="32" t="str">
        <f>[1]Source!H1417</f>
        <v>10 м</v>
      </c>
      <c r="E1426" s="4">
        <f>[1]Source!I1417</f>
        <v>9.18</v>
      </c>
      <c r="F1426" s="33"/>
      <c r="G1426" s="34"/>
      <c r="H1426" s="4"/>
      <c r="I1426" s="4"/>
      <c r="J1426" s="33"/>
      <c r="K1426" s="33"/>
      <c r="M1426"/>
      <c r="N1426"/>
      <c r="O1426"/>
      <c r="P1426"/>
      <c r="Q1426"/>
      <c r="AB1426">
        <f>ROUND(([1]Source!BZ1417/100)*ROUND(([1]Source!AF1417*[1]Source!AV1417)*[1]Source!I1417, 2), 2)</f>
        <v>8555.58</v>
      </c>
      <c r="AC1426">
        <f>[1]Source!X1417</f>
        <v>8555.58</v>
      </c>
      <c r="AD1426">
        <f>ROUND(([1]Source!CA1417/100)*ROUND(([1]Source!AF1417*[1]Source!AV1417)*[1]Source!I1417, 2), 2)</f>
        <v>1222.23</v>
      </c>
      <c r="AE1426">
        <f>[1]Source!Y1417</f>
        <v>1222.23</v>
      </c>
      <c r="AF1426">
        <f>ROUND((175/100)*ROUND(([1]Source!AE1417*[1]Source!AV1417)*[1]Source!I1417, 2), 2)</f>
        <v>0</v>
      </c>
      <c r="AG1426">
        <f>ROUND((108/100)*ROUND([1]Source!CS1417*[1]Source!I1417, 2), 2)</f>
        <v>0</v>
      </c>
    </row>
    <row r="1427" spans="1:33" x14ac:dyDescent="0.2">
      <c r="C1427" s="40" t="str">
        <f>"Объем: "&amp;[1]Source!I1417&amp;"=91,8/"&amp;"10"</f>
        <v>Объем: 9,18=91,8/10</v>
      </c>
      <c r="M1427"/>
      <c r="N1427"/>
      <c r="O1427"/>
      <c r="P1427"/>
      <c r="Q1427"/>
    </row>
    <row r="1428" spans="1:33" ht="14.25" x14ac:dyDescent="0.2">
      <c r="A1428" s="31"/>
      <c r="B1428" s="31"/>
      <c r="C1428" s="31" t="s">
        <v>34</v>
      </c>
      <c r="D1428" s="32"/>
      <c r="E1428" s="4"/>
      <c r="F1428" s="33">
        <f>[1]Source!AO1417</f>
        <v>22.19</v>
      </c>
      <c r="G1428" s="34" t="str">
        <f>[1]Source!DG1417</f>
        <v>)*1*3*20</v>
      </c>
      <c r="H1428" s="4">
        <f>[1]Source!AV1417</f>
        <v>1</v>
      </c>
      <c r="I1428" s="4">
        <f>IF([1]Source!BA1417&lt;&gt; 0, [1]Source!BA1417, 1)</f>
        <v>1</v>
      </c>
      <c r="J1428" s="33">
        <f>[1]Source!S1417</f>
        <v>12222.25</v>
      </c>
      <c r="K1428" s="33"/>
      <c r="M1428"/>
      <c r="N1428"/>
      <c r="O1428"/>
      <c r="P1428"/>
      <c r="Q1428"/>
    </row>
    <row r="1429" spans="1:33" ht="14.25" x14ac:dyDescent="0.2">
      <c r="A1429" s="31"/>
      <c r="B1429" s="31"/>
      <c r="C1429" s="31" t="s">
        <v>40</v>
      </c>
      <c r="D1429" s="32" t="s">
        <v>39</v>
      </c>
      <c r="E1429" s="4">
        <f>[1]Source!AT1417</f>
        <v>70</v>
      </c>
      <c r="F1429" s="33"/>
      <c r="G1429" s="34"/>
      <c r="H1429" s="4"/>
      <c r="I1429" s="4"/>
      <c r="J1429" s="33">
        <f>SUM(AC1426:AC1428)</f>
        <v>8555.58</v>
      </c>
      <c r="K1429" s="33"/>
      <c r="M1429"/>
      <c r="N1429"/>
      <c r="O1429"/>
      <c r="P1429"/>
      <c r="Q1429"/>
    </row>
    <row r="1430" spans="1:33" ht="14.25" x14ac:dyDescent="0.2">
      <c r="A1430" s="31"/>
      <c r="B1430" s="31"/>
      <c r="C1430" s="31" t="s">
        <v>41</v>
      </c>
      <c r="D1430" s="32" t="s">
        <v>39</v>
      </c>
      <c r="E1430" s="4">
        <f>[1]Source!AU1417</f>
        <v>10</v>
      </c>
      <c r="F1430" s="33"/>
      <c r="G1430" s="34"/>
      <c r="H1430" s="4"/>
      <c r="I1430" s="4"/>
      <c r="J1430" s="33">
        <f>SUM(AE1426:AE1429)</f>
        <v>1222.23</v>
      </c>
      <c r="K1430" s="33"/>
      <c r="M1430"/>
      <c r="N1430"/>
      <c r="O1430"/>
      <c r="P1430"/>
      <c r="Q1430"/>
    </row>
    <row r="1431" spans="1:33" ht="14.25" x14ac:dyDescent="0.2">
      <c r="A1431" s="31"/>
      <c r="B1431" s="31"/>
      <c r="C1431" s="31" t="s">
        <v>42</v>
      </c>
      <c r="D1431" s="32" t="s">
        <v>43</v>
      </c>
      <c r="E1431" s="4">
        <f>[1]Source!AQ1417</f>
        <v>0.08</v>
      </c>
      <c r="F1431" s="33"/>
      <c r="G1431" s="34" t="str">
        <f>[1]Source!DI1417</f>
        <v>)*1*3*20</v>
      </c>
      <c r="H1431" s="4">
        <f>[1]Source!AV1417</f>
        <v>1</v>
      </c>
      <c r="I1431" s="4"/>
      <c r="J1431" s="33"/>
      <c r="K1431" s="33">
        <f>[1]Source!U1417</f>
        <v>44.064</v>
      </c>
      <c r="M1431"/>
      <c r="N1431"/>
      <c r="O1431"/>
      <c r="P1431"/>
      <c r="Q1431"/>
    </row>
    <row r="1432" spans="1:33" ht="15" x14ac:dyDescent="0.25">
      <c r="A1432" s="35"/>
      <c r="B1432" s="35"/>
      <c r="C1432" s="35"/>
      <c r="D1432" s="35"/>
      <c r="E1432" s="35"/>
      <c r="F1432" s="35"/>
      <c r="G1432" s="35"/>
      <c r="H1432" s="35"/>
      <c r="I1432" s="36">
        <f>J1428+J1429+J1430</f>
        <v>22000.06</v>
      </c>
      <c r="J1432" s="36"/>
      <c r="K1432" s="37">
        <f>IF([1]Source!I1417&lt;&gt;0, ROUND(I1432/[1]Source!I1417, 2), 0)</f>
        <v>2396.52</v>
      </c>
      <c r="M1432"/>
      <c r="N1432"/>
      <c r="O1432"/>
      <c r="P1432"/>
      <c r="Q1432"/>
      <c r="AA1432" s="38">
        <f>I1432</f>
        <v>22000.06</v>
      </c>
    </row>
    <row r="1433" spans="1:33" ht="57" x14ac:dyDescent="0.2">
      <c r="A1433" s="31">
        <v>203</v>
      </c>
      <c r="B1433" s="31" t="str">
        <f>[1]Source!F1418</f>
        <v>5.3-1102-26-1/1</v>
      </c>
      <c r="C1433" s="31" t="str">
        <f>[1]Source!G1418</f>
        <v>Очистка лотков с решетками от снега, сечение лотка 100 см2, количество креплений решеток 20 шт.( сечение 450 см2)</v>
      </c>
      <c r="D1433" s="32" t="str">
        <f>[1]Source!H1418</f>
        <v>10 м</v>
      </c>
      <c r="E1433" s="4">
        <f>[1]Source!I1418</f>
        <v>6.69</v>
      </c>
      <c r="F1433" s="33"/>
      <c r="G1433" s="34"/>
      <c r="H1433" s="4"/>
      <c r="I1433" s="4"/>
      <c r="J1433" s="33"/>
      <c r="K1433" s="33"/>
      <c r="M1433"/>
      <c r="N1433"/>
      <c r="O1433"/>
      <c r="P1433"/>
      <c r="Q1433"/>
      <c r="AB1433">
        <f>ROUND(([1]Source!BZ1418/100)*ROUND(([1]Source!AF1418*[1]Source!AV1418)*[1]Source!I1418, 2), 2)</f>
        <v>19220.91</v>
      </c>
      <c r="AC1433">
        <f>[1]Source!X1418</f>
        <v>19220.91</v>
      </c>
      <c r="AD1433">
        <f>ROUND(([1]Source!CA1418/100)*ROUND(([1]Source!AF1418*[1]Source!AV1418)*[1]Source!I1418, 2), 2)</f>
        <v>2745.84</v>
      </c>
      <c r="AE1433">
        <f>[1]Source!Y1418</f>
        <v>2745.84</v>
      </c>
      <c r="AF1433">
        <f>ROUND((175/100)*ROUND(([1]Source!AE1418*[1]Source!AV1418)*[1]Source!I1418, 2), 2)</f>
        <v>0</v>
      </c>
      <c r="AG1433">
        <f>ROUND((108/100)*ROUND([1]Source!CS1418*[1]Source!I1418, 2), 2)</f>
        <v>0</v>
      </c>
    </row>
    <row r="1434" spans="1:33" x14ac:dyDescent="0.2">
      <c r="C1434" s="40" t="str">
        <f>"Объем: "&amp;[1]Source!I1418&amp;"=66,9/"&amp;"10"</f>
        <v>Объем: 6,69=66,9/10</v>
      </c>
      <c r="M1434"/>
      <c r="N1434"/>
      <c r="O1434"/>
      <c r="P1434"/>
      <c r="Q1434"/>
    </row>
    <row r="1435" spans="1:33" ht="14.25" x14ac:dyDescent="0.2">
      <c r="A1435" s="31"/>
      <c r="B1435" s="31"/>
      <c r="C1435" s="31" t="s">
        <v>34</v>
      </c>
      <c r="D1435" s="32"/>
      <c r="E1435" s="4"/>
      <c r="F1435" s="33">
        <f>[1]Source!AO1418</f>
        <v>205.22</v>
      </c>
      <c r="G1435" s="34" t="str">
        <f>[1]Source!DG1418</f>
        <v>)*1*20</v>
      </c>
      <c r="H1435" s="4">
        <f>[1]Source!AV1418</f>
        <v>1</v>
      </c>
      <c r="I1435" s="4">
        <f>IF([1]Source!BA1418&lt;&gt; 0, [1]Source!BA1418, 1)</f>
        <v>1</v>
      </c>
      <c r="J1435" s="33">
        <f>[1]Source!S1418</f>
        <v>27458.44</v>
      </c>
      <c r="K1435" s="33"/>
      <c r="M1435"/>
      <c r="N1435"/>
      <c r="O1435"/>
      <c r="P1435"/>
      <c r="Q1435"/>
    </row>
    <row r="1436" spans="1:33" ht="14.25" x14ac:dyDescent="0.2">
      <c r="A1436" s="31"/>
      <c r="B1436" s="31"/>
      <c r="C1436" s="31" t="s">
        <v>40</v>
      </c>
      <c r="D1436" s="32" t="s">
        <v>39</v>
      </c>
      <c r="E1436" s="4">
        <f>[1]Source!AT1418</f>
        <v>70</v>
      </c>
      <c r="F1436" s="33"/>
      <c r="G1436" s="34"/>
      <c r="H1436" s="4"/>
      <c r="I1436" s="4"/>
      <c r="J1436" s="33">
        <f>SUM(AC1433:AC1435)</f>
        <v>19220.91</v>
      </c>
      <c r="K1436" s="33"/>
      <c r="M1436"/>
      <c r="N1436"/>
      <c r="O1436"/>
      <c r="P1436"/>
      <c r="Q1436"/>
    </row>
    <row r="1437" spans="1:33" ht="14.25" x14ac:dyDescent="0.2">
      <c r="A1437" s="31"/>
      <c r="B1437" s="31"/>
      <c r="C1437" s="31" t="s">
        <v>41</v>
      </c>
      <c r="D1437" s="32" t="s">
        <v>39</v>
      </c>
      <c r="E1437" s="4">
        <f>[1]Source!AU1418</f>
        <v>10</v>
      </c>
      <c r="F1437" s="33"/>
      <c r="G1437" s="34"/>
      <c r="H1437" s="4"/>
      <c r="I1437" s="4"/>
      <c r="J1437" s="33">
        <f>SUM(AE1433:AE1436)</f>
        <v>2745.84</v>
      </c>
      <c r="K1437" s="33"/>
      <c r="M1437"/>
      <c r="N1437"/>
      <c r="O1437"/>
      <c r="P1437"/>
      <c r="Q1437"/>
    </row>
    <row r="1438" spans="1:33" ht="14.25" x14ac:dyDescent="0.2">
      <c r="A1438" s="31"/>
      <c r="B1438" s="31"/>
      <c r="C1438" s="31" t="s">
        <v>42</v>
      </c>
      <c r="D1438" s="32" t="s">
        <v>43</v>
      </c>
      <c r="E1438" s="4">
        <f>[1]Source!AQ1418</f>
        <v>0.74</v>
      </c>
      <c r="F1438" s="33"/>
      <c r="G1438" s="34" t="str">
        <f>[1]Source!DI1418</f>
        <v>)*1*20</v>
      </c>
      <c r="H1438" s="4">
        <f>[1]Source!AV1418</f>
        <v>1</v>
      </c>
      <c r="I1438" s="4"/>
      <c r="J1438" s="33"/>
      <c r="K1438" s="33">
        <f>[1]Source!U1418</f>
        <v>99.012000000000015</v>
      </c>
      <c r="M1438"/>
      <c r="N1438"/>
      <c r="O1438"/>
      <c r="P1438"/>
      <c r="Q1438"/>
    </row>
    <row r="1439" spans="1:33" ht="15" x14ac:dyDescent="0.25">
      <c r="A1439" s="35"/>
      <c r="B1439" s="35"/>
      <c r="C1439" s="35"/>
      <c r="D1439" s="35"/>
      <c r="E1439" s="35"/>
      <c r="F1439" s="35"/>
      <c r="G1439" s="35"/>
      <c r="H1439" s="35"/>
      <c r="I1439" s="36">
        <f>J1435+J1436+J1437</f>
        <v>49425.19</v>
      </c>
      <c r="J1439" s="36"/>
      <c r="K1439" s="37">
        <f>IF([1]Source!I1418&lt;&gt;0, ROUND(I1439/[1]Source!I1418, 2), 0)</f>
        <v>7387.92</v>
      </c>
      <c r="M1439"/>
      <c r="N1439"/>
      <c r="O1439"/>
      <c r="P1439"/>
      <c r="Q1439"/>
      <c r="AA1439" s="38">
        <f>I1439</f>
        <v>49425.19</v>
      </c>
    </row>
    <row r="1440" spans="1:33" ht="42.75" x14ac:dyDescent="0.2">
      <c r="A1440" s="31">
        <v>204</v>
      </c>
      <c r="B1440" s="31" t="str">
        <f>[1]Source!F1419</f>
        <v>5.3-1102-26-2/1</v>
      </c>
      <c r="C1440" s="31" t="str">
        <f>[1]Source!G1419</f>
        <v>Очистка лотков с решетками от снега, добавлять к 3-1102-26-1 на каждые 100 см2 изменения сечения лотка</v>
      </c>
      <c r="D1440" s="32" t="str">
        <f>[1]Source!H1419</f>
        <v>10 м</v>
      </c>
      <c r="E1440" s="4">
        <f>[1]Source!I1419</f>
        <v>6.69</v>
      </c>
      <c r="F1440" s="33"/>
      <c r="G1440" s="34"/>
      <c r="H1440" s="4"/>
      <c r="I1440" s="4"/>
      <c r="J1440" s="33"/>
      <c r="K1440" s="33"/>
      <c r="M1440"/>
      <c r="N1440"/>
      <c r="O1440"/>
      <c r="P1440"/>
      <c r="Q1440"/>
      <c r="AB1440">
        <f>ROUND(([1]Source!BZ1419/100)*ROUND(([1]Source!AF1419*[1]Source!AV1419)*[1]Source!I1419, 2), 2)</f>
        <v>7274.11</v>
      </c>
      <c r="AC1440">
        <f>[1]Source!X1419</f>
        <v>7274.11</v>
      </c>
      <c r="AD1440">
        <f>ROUND(([1]Source!CA1419/100)*ROUND(([1]Source!AF1419*[1]Source!AV1419)*[1]Source!I1419, 2), 2)</f>
        <v>1039.1600000000001</v>
      </c>
      <c r="AE1440">
        <f>[1]Source!Y1419</f>
        <v>1039.1600000000001</v>
      </c>
      <c r="AF1440">
        <f>ROUND((175/100)*ROUND(([1]Source!AE1419*[1]Source!AV1419)*[1]Source!I1419, 2), 2)</f>
        <v>0</v>
      </c>
      <c r="AG1440">
        <f>ROUND((108/100)*ROUND([1]Source!CS1419*[1]Source!I1419, 2), 2)</f>
        <v>0</v>
      </c>
    </row>
    <row r="1441" spans="1:33" x14ac:dyDescent="0.2">
      <c r="C1441" s="40" t="str">
        <f>"Объем: "&amp;[1]Source!I1419&amp;"=66,9/"&amp;"10"</f>
        <v>Объем: 6,69=66,9/10</v>
      </c>
      <c r="M1441"/>
      <c r="N1441"/>
      <c r="O1441"/>
      <c r="P1441"/>
      <c r="Q1441"/>
    </row>
    <row r="1442" spans="1:33" ht="14.25" x14ac:dyDescent="0.2">
      <c r="A1442" s="31"/>
      <c r="B1442" s="31"/>
      <c r="C1442" s="31" t="s">
        <v>34</v>
      </c>
      <c r="D1442" s="32"/>
      <c r="E1442" s="4"/>
      <c r="F1442" s="33">
        <f>[1]Source!AO1419</f>
        <v>22.19</v>
      </c>
      <c r="G1442" s="34" t="str">
        <f>[1]Source!DG1419</f>
        <v>)*1*3,5*20</v>
      </c>
      <c r="H1442" s="4">
        <f>[1]Source!AV1419</f>
        <v>1</v>
      </c>
      <c r="I1442" s="4">
        <f>IF([1]Source!BA1419&lt;&gt; 0, [1]Source!BA1419, 1)</f>
        <v>1</v>
      </c>
      <c r="J1442" s="33">
        <f>[1]Source!S1419</f>
        <v>10391.58</v>
      </c>
      <c r="K1442" s="33"/>
      <c r="M1442"/>
      <c r="N1442"/>
      <c r="O1442"/>
      <c r="P1442"/>
      <c r="Q1442"/>
    </row>
    <row r="1443" spans="1:33" ht="14.25" x14ac:dyDescent="0.2">
      <c r="A1443" s="31"/>
      <c r="B1443" s="31"/>
      <c r="C1443" s="31" t="s">
        <v>40</v>
      </c>
      <c r="D1443" s="32" t="s">
        <v>39</v>
      </c>
      <c r="E1443" s="4">
        <f>[1]Source!AT1419</f>
        <v>70</v>
      </c>
      <c r="F1443" s="33"/>
      <c r="G1443" s="34"/>
      <c r="H1443" s="4"/>
      <c r="I1443" s="4"/>
      <c r="J1443" s="33">
        <f>SUM(AC1440:AC1442)</f>
        <v>7274.11</v>
      </c>
      <c r="K1443" s="33"/>
      <c r="M1443"/>
      <c r="N1443"/>
      <c r="O1443"/>
      <c r="P1443"/>
      <c r="Q1443"/>
    </row>
    <row r="1444" spans="1:33" ht="14.25" x14ac:dyDescent="0.2">
      <c r="A1444" s="31"/>
      <c r="B1444" s="31"/>
      <c r="C1444" s="31" t="s">
        <v>41</v>
      </c>
      <c r="D1444" s="32" t="s">
        <v>39</v>
      </c>
      <c r="E1444" s="4">
        <f>[1]Source!AU1419</f>
        <v>10</v>
      </c>
      <c r="F1444" s="33"/>
      <c r="G1444" s="34"/>
      <c r="H1444" s="4"/>
      <c r="I1444" s="4"/>
      <c r="J1444" s="33">
        <f>SUM(AE1440:AE1443)</f>
        <v>1039.1600000000001</v>
      </c>
      <c r="K1444" s="33"/>
      <c r="M1444"/>
      <c r="N1444"/>
      <c r="O1444"/>
      <c r="P1444"/>
      <c r="Q1444"/>
    </row>
    <row r="1445" spans="1:33" ht="14.25" x14ac:dyDescent="0.2">
      <c r="A1445" s="31"/>
      <c r="B1445" s="31"/>
      <c r="C1445" s="31" t="s">
        <v>42</v>
      </c>
      <c r="D1445" s="32" t="s">
        <v>43</v>
      </c>
      <c r="E1445" s="4">
        <f>[1]Source!AQ1419</f>
        <v>0.08</v>
      </c>
      <c r="F1445" s="33"/>
      <c r="G1445" s="34" t="str">
        <f>[1]Source!DI1419</f>
        <v>)*1*3,5*20</v>
      </c>
      <c r="H1445" s="4">
        <f>[1]Source!AV1419</f>
        <v>1</v>
      </c>
      <c r="I1445" s="4"/>
      <c r="J1445" s="33"/>
      <c r="K1445" s="33">
        <f>[1]Source!U1419</f>
        <v>37.464000000000006</v>
      </c>
      <c r="M1445"/>
      <c r="N1445"/>
      <c r="O1445"/>
      <c r="P1445"/>
      <c r="Q1445"/>
    </row>
    <row r="1446" spans="1:33" ht="15" x14ac:dyDescent="0.25">
      <c r="A1446" s="35"/>
      <c r="B1446" s="35"/>
      <c r="C1446" s="35"/>
      <c r="D1446" s="35"/>
      <c r="E1446" s="35"/>
      <c r="F1446" s="35"/>
      <c r="G1446" s="35"/>
      <c r="H1446" s="35"/>
      <c r="I1446" s="36">
        <f>J1442+J1443+J1444</f>
        <v>18704.849999999999</v>
      </c>
      <c r="J1446" s="36"/>
      <c r="K1446" s="37">
        <f>IF([1]Source!I1419&lt;&gt;0, ROUND(I1446/[1]Source!I1419, 2), 0)</f>
        <v>2795.94</v>
      </c>
      <c r="M1446"/>
      <c r="N1446"/>
      <c r="O1446"/>
      <c r="P1446"/>
      <c r="Q1446"/>
      <c r="AA1446" s="38">
        <f>I1446</f>
        <v>18704.849999999999</v>
      </c>
    </row>
    <row r="1447" spans="1:33" ht="57" x14ac:dyDescent="0.2">
      <c r="A1447" s="31">
        <v>205</v>
      </c>
      <c r="B1447" s="31" t="str">
        <f>[1]Source!F1420</f>
        <v>5.3-1102-26-1/1</v>
      </c>
      <c r="C1447" s="31" t="str">
        <f>[1]Source!G1420</f>
        <v>Очистка лотков с решетками от снега, сечение лотка 100 см2, количество креплений решеток 20 шт.( сечение 500 см2)</v>
      </c>
      <c r="D1447" s="32" t="str">
        <f>[1]Source!H1420</f>
        <v>10 м</v>
      </c>
      <c r="E1447" s="4">
        <f>[1]Source!I1420</f>
        <v>16.236000000000001</v>
      </c>
      <c r="F1447" s="33"/>
      <c r="G1447" s="34"/>
      <c r="H1447" s="4"/>
      <c r="I1447" s="4"/>
      <c r="J1447" s="33"/>
      <c r="K1447" s="33"/>
      <c r="M1447"/>
      <c r="N1447"/>
      <c r="O1447"/>
      <c r="P1447"/>
      <c r="Q1447"/>
      <c r="AB1447">
        <f>ROUND(([1]Source!BZ1420/100)*ROUND(([1]Source!AF1420*[1]Source!AV1420)*[1]Source!I1420, 2), 2)</f>
        <v>46647.33</v>
      </c>
      <c r="AC1447">
        <f>[1]Source!X1420</f>
        <v>46647.33</v>
      </c>
      <c r="AD1447">
        <f>ROUND(([1]Source!CA1420/100)*ROUND(([1]Source!AF1420*[1]Source!AV1420)*[1]Source!I1420, 2), 2)</f>
        <v>6663.9</v>
      </c>
      <c r="AE1447">
        <f>[1]Source!Y1420</f>
        <v>6663.9</v>
      </c>
      <c r="AF1447">
        <f>ROUND((175/100)*ROUND(([1]Source!AE1420*[1]Source!AV1420)*[1]Source!I1420, 2), 2)</f>
        <v>0</v>
      </c>
      <c r="AG1447">
        <f>ROUND((108/100)*ROUND([1]Source!CS1420*[1]Source!I1420, 2), 2)</f>
        <v>0</v>
      </c>
    </row>
    <row r="1448" spans="1:33" x14ac:dyDescent="0.2">
      <c r="C1448" s="40" t="str">
        <f>"Объем: "&amp;[1]Source!I1420&amp;"=162,36/"&amp;"10"</f>
        <v>Объем: 16,236=162,36/10</v>
      </c>
      <c r="M1448"/>
      <c r="N1448"/>
      <c r="O1448"/>
      <c r="P1448"/>
      <c r="Q1448"/>
    </row>
    <row r="1449" spans="1:33" ht="14.25" x14ac:dyDescent="0.2">
      <c r="A1449" s="31"/>
      <c r="B1449" s="31"/>
      <c r="C1449" s="31" t="s">
        <v>34</v>
      </c>
      <c r="D1449" s="32"/>
      <c r="E1449" s="4"/>
      <c r="F1449" s="33">
        <f>[1]Source!AO1420</f>
        <v>205.22</v>
      </c>
      <c r="G1449" s="34" t="str">
        <f>[1]Source!DG1420</f>
        <v>)*1*20</v>
      </c>
      <c r="H1449" s="4">
        <f>[1]Source!AV1420</f>
        <v>1</v>
      </c>
      <c r="I1449" s="4">
        <f>IF([1]Source!BA1420&lt;&gt; 0, [1]Source!BA1420, 1)</f>
        <v>1</v>
      </c>
      <c r="J1449" s="33">
        <f>[1]Source!S1420</f>
        <v>66639.039999999994</v>
      </c>
      <c r="K1449" s="33"/>
      <c r="M1449"/>
      <c r="N1449"/>
      <c r="O1449"/>
      <c r="P1449"/>
      <c r="Q1449"/>
    </row>
    <row r="1450" spans="1:33" ht="14.25" x14ac:dyDescent="0.2">
      <c r="A1450" s="31"/>
      <c r="B1450" s="31"/>
      <c r="C1450" s="31" t="s">
        <v>40</v>
      </c>
      <c r="D1450" s="32" t="s">
        <v>39</v>
      </c>
      <c r="E1450" s="4">
        <f>[1]Source!AT1420</f>
        <v>70</v>
      </c>
      <c r="F1450" s="33"/>
      <c r="G1450" s="34"/>
      <c r="H1450" s="4"/>
      <c r="I1450" s="4"/>
      <c r="J1450" s="33">
        <f>SUM(AC1447:AC1449)</f>
        <v>46647.33</v>
      </c>
      <c r="K1450" s="33"/>
      <c r="M1450"/>
      <c r="N1450"/>
      <c r="O1450"/>
      <c r="P1450"/>
      <c r="Q1450"/>
    </row>
    <row r="1451" spans="1:33" ht="14.25" x14ac:dyDescent="0.2">
      <c r="A1451" s="31"/>
      <c r="B1451" s="31"/>
      <c r="C1451" s="31" t="s">
        <v>41</v>
      </c>
      <c r="D1451" s="32" t="s">
        <v>39</v>
      </c>
      <c r="E1451" s="4">
        <f>[1]Source!AU1420</f>
        <v>10</v>
      </c>
      <c r="F1451" s="33"/>
      <c r="G1451" s="34"/>
      <c r="H1451" s="4"/>
      <c r="I1451" s="4"/>
      <c r="J1451" s="33">
        <f>SUM(AE1447:AE1450)</f>
        <v>6663.9</v>
      </c>
      <c r="K1451" s="33"/>
      <c r="M1451"/>
      <c r="N1451"/>
      <c r="O1451"/>
      <c r="P1451"/>
      <c r="Q1451"/>
    </row>
    <row r="1452" spans="1:33" ht="14.25" x14ac:dyDescent="0.2">
      <c r="A1452" s="31"/>
      <c r="B1452" s="31"/>
      <c r="C1452" s="31" t="s">
        <v>42</v>
      </c>
      <c r="D1452" s="32" t="s">
        <v>43</v>
      </c>
      <c r="E1452" s="4">
        <f>[1]Source!AQ1420</f>
        <v>0.74</v>
      </c>
      <c r="F1452" s="33"/>
      <c r="G1452" s="34" t="str">
        <f>[1]Source!DI1420</f>
        <v>)*1*20</v>
      </c>
      <c r="H1452" s="4">
        <f>[1]Source!AV1420</f>
        <v>1</v>
      </c>
      <c r="I1452" s="4"/>
      <c r="J1452" s="33"/>
      <c r="K1452" s="33">
        <f>[1]Source!U1420</f>
        <v>240.29280000000003</v>
      </c>
      <c r="M1452"/>
      <c r="N1452"/>
      <c r="O1452"/>
      <c r="P1452"/>
      <c r="Q1452"/>
    </row>
    <row r="1453" spans="1:33" ht="15" x14ac:dyDescent="0.25">
      <c r="A1453" s="35"/>
      <c r="B1453" s="35"/>
      <c r="C1453" s="35"/>
      <c r="D1453" s="35"/>
      <c r="E1453" s="35"/>
      <c r="F1453" s="35"/>
      <c r="G1453" s="35"/>
      <c r="H1453" s="35"/>
      <c r="I1453" s="36">
        <f>J1449+J1450+J1451</f>
        <v>119950.26999999999</v>
      </c>
      <c r="J1453" s="36"/>
      <c r="K1453" s="37">
        <f>IF([1]Source!I1420&lt;&gt;0, ROUND(I1453/[1]Source!I1420, 2), 0)</f>
        <v>7387.92</v>
      </c>
      <c r="M1453"/>
      <c r="N1453"/>
      <c r="O1453"/>
      <c r="P1453"/>
      <c r="Q1453"/>
      <c r="AA1453" s="38">
        <f>I1453</f>
        <v>119950.26999999999</v>
      </c>
    </row>
    <row r="1454" spans="1:33" ht="42.75" x14ac:dyDescent="0.2">
      <c r="A1454" s="31">
        <v>206</v>
      </c>
      <c r="B1454" s="31" t="str">
        <f>[1]Source!F1421</f>
        <v>5.3-1102-26-2/1</v>
      </c>
      <c r="C1454" s="31" t="str">
        <f>[1]Source!G1421</f>
        <v>Очистка лотков с решетками от снега, добавлять к 3-1102-26-1 на каждые 100 см2 изменения сечения лотка</v>
      </c>
      <c r="D1454" s="32" t="str">
        <f>[1]Source!H1421</f>
        <v>10 м</v>
      </c>
      <c r="E1454" s="4">
        <f>[1]Source!I1421</f>
        <v>16.236000000000001</v>
      </c>
      <c r="F1454" s="33"/>
      <c r="G1454" s="34"/>
      <c r="H1454" s="4"/>
      <c r="I1454" s="4"/>
      <c r="J1454" s="33"/>
      <c r="K1454" s="33"/>
      <c r="M1454"/>
      <c r="N1454"/>
      <c r="O1454"/>
      <c r="P1454"/>
      <c r="Q1454"/>
      <c r="AB1454">
        <f>ROUND(([1]Source!BZ1421/100)*ROUND(([1]Source!AF1421*[1]Source!AV1421)*[1]Source!I1421, 2), 2)</f>
        <v>20175.509999999998</v>
      </c>
      <c r="AC1454">
        <f>[1]Source!X1421</f>
        <v>20175.509999999998</v>
      </c>
      <c r="AD1454">
        <f>ROUND(([1]Source!CA1421/100)*ROUND(([1]Source!AF1421*[1]Source!AV1421)*[1]Source!I1421, 2), 2)</f>
        <v>2882.22</v>
      </c>
      <c r="AE1454">
        <f>[1]Source!Y1421</f>
        <v>2882.22</v>
      </c>
      <c r="AF1454">
        <f>ROUND((175/100)*ROUND(([1]Source!AE1421*[1]Source!AV1421)*[1]Source!I1421, 2), 2)</f>
        <v>0</v>
      </c>
      <c r="AG1454">
        <f>ROUND((108/100)*ROUND([1]Source!CS1421*[1]Source!I1421, 2), 2)</f>
        <v>0</v>
      </c>
    </row>
    <row r="1455" spans="1:33" x14ac:dyDescent="0.2">
      <c r="C1455" s="40" t="str">
        <f>"Объем: "&amp;[1]Source!I1421&amp;"=162,36/"&amp;"10"</f>
        <v>Объем: 16,236=162,36/10</v>
      </c>
      <c r="M1455"/>
      <c r="N1455"/>
      <c r="O1455"/>
      <c r="P1455"/>
      <c r="Q1455"/>
    </row>
    <row r="1456" spans="1:33" ht="14.25" x14ac:dyDescent="0.2">
      <c r="A1456" s="31"/>
      <c r="B1456" s="31"/>
      <c r="C1456" s="31" t="s">
        <v>34</v>
      </c>
      <c r="D1456" s="32"/>
      <c r="E1456" s="4"/>
      <c r="F1456" s="33">
        <f>[1]Source!AO1421</f>
        <v>22.19</v>
      </c>
      <c r="G1456" s="34" t="str">
        <f>[1]Source!DG1421</f>
        <v>)*1*4*20</v>
      </c>
      <c r="H1456" s="4">
        <f>[1]Source!AV1421</f>
        <v>1</v>
      </c>
      <c r="I1456" s="4">
        <f>IF([1]Source!BA1421&lt;&gt; 0, [1]Source!BA1421, 1)</f>
        <v>1</v>
      </c>
      <c r="J1456" s="33">
        <f>[1]Source!S1421</f>
        <v>28822.15</v>
      </c>
      <c r="K1456" s="33"/>
      <c r="M1456"/>
      <c r="N1456"/>
      <c r="O1456"/>
      <c r="P1456"/>
      <c r="Q1456"/>
    </row>
    <row r="1457" spans="1:33" ht="14.25" x14ac:dyDescent="0.2">
      <c r="A1457" s="31"/>
      <c r="B1457" s="31"/>
      <c r="C1457" s="31" t="s">
        <v>40</v>
      </c>
      <c r="D1457" s="32" t="s">
        <v>39</v>
      </c>
      <c r="E1457" s="4">
        <f>[1]Source!AT1421</f>
        <v>70</v>
      </c>
      <c r="F1457" s="33"/>
      <c r="G1457" s="34"/>
      <c r="H1457" s="4"/>
      <c r="I1457" s="4"/>
      <c r="J1457" s="33">
        <f>SUM(AC1454:AC1456)</f>
        <v>20175.509999999998</v>
      </c>
      <c r="K1457" s="33"/>
      <c r="M1457"/>
      <c r="N1457"/>
      <c r="O1457"/>
      <c r="P1457"/>
      <c r="Q1457"/>
    </row>
    <row r="1458" spans="1:33" ht="14.25" x14ac:dyDescent="0.2">
      <c r="A1458" s="31"/>
      <c r="B1458" s="31"/>
      <c r="C1458" s="31" t="s">
        <v>41</v>
      </c>
      <c r="D1458" s="32" t="s">
        <v>39</v>
      </c>
      <c r="E1458" s="4">
        <f>[1]Source!AU1421</f>
        <v>10</v>
      </c>
      <c r="F1458" s="33"/>
      <c r="G1458" s="34"/>
      <c r="H1458" s="4"/>
      <c r="I1458" s="4"/>
      <c r="J1458" s="33">
        <f>SUM(AE1454:AE1457)</f>
        <v>2882.22</v>
      </c>
      <c r="K1458" s="33"/>
      <c r="M1458"/>
      <c r="N1458"/>
      <c r="O1458"/>
      <c r="P1458"/>
      <c r="Q1458"/>
    </row>
    <row r="1459" spans="1:33" ht="14.25" x14ac:dyDescent="0.2">
      <c r="A1459" s="31"/>
      <c r="B1459" s="31"/>
      <c r="C1459" s="31" t="s">
        <v>42</v>
      </c>
      <c r="D1459" s="32" t="s">
        <v>43</v>
      </c>
      <c r="E1459" s="4">
        <f>[1]Source!AQ1421</f>
        <v>0.08</v>
      </c>
      <c r="F1459" s="33"/>
      <c r="G1459" s="34" t="str">
        <f>[1]Source!DI1421</f>
        <v>)*1*4*20</v>
      </c>
      <c r="H1459" s="4">
        <f>[1]Source!AV1421</f>
        <v>1</v>
      </c>
      <c r="I1459" s="4"/>
      <c r="J1459" s="33"/>
      <c r="K1459" s="33">
        <f>[1]Source!U1421</f>
        <v>103.91040000000001</v>
      </c>
      <c r="M1459"/>
      <c r="N1459"/>
      <c r="O1459"/>
      <c r="P1459"/>
      <c r="Q1459"/>
    </row>
    <row r="1460" spans="1:33" ht="15" x14ac:dyDescent="0.25">
      <c r="A1460" s="35"/>
      <c r="B1460" s="35"/>
      <c r="C1460" s="35"/>
      <c r="D1460" s="35"/>
      <c r="E1460" s="35"/>
      <c r="F1460" s="35"/>
      <c r="G1460" s="35"/>
      <c r="H1460" s="35"/>
      <c r="I1460" s="36">
        <f>J1456+J1457+J1458</f>
        <v>51879.880000000005</v>
      </c>
      <c r="J1460" s="36"/>
      <c r="K1460" s="37">
        <f>IF([1]Source!I1421&lt;&gt;0, ROUND(I1460/[1]Source!I1421, 2), 0)</f>
        <v>3195.36</v>
      </c>
      <c r="M1460"/>
      <c r="N1460"/>
      <c r="O1460"/>
      <c r="P1460"/>
      <c r="Q1460"/>
      <c r="AA1460" s="38">
        <f>I1460</f>
        <v>51879.880000000005</v>
      </c>
    </row>
    <row r="1461" spans="1:33" ht="57" x14ac:dyDescent="0.2">
      <c r="A1461" s="31">
        <v>207</v>
      </c>
      <c r="B1461" s="31" t="str">
        <f>[1]Source!F1422</f>
        <v>5.3-1102-26-1/1</v>
      </c>
      <c r="C1461" s="31" t="str">
        <f>[1]Source!G1422</f>
        <v>Очистка лотков с решетками от снега, сечение лотка 100 см2, количество креплений решеток 20 шт.( сечение 825 см2)</v>
      </c>
      <c r="D1461" s="32" t="str">
        <f>[1]Source!H1422</f>
        <v>10 м</v>
      </c>
      <c r="E1461" s="4">
        <f>[1]Source!I1422</f>
        <v>6.6859999999999999</v>
      </c>
      <c r="F1461" s="33"/>
      <c r="G1461" s="34"/>
      <c r="H1461" s="4"/>
      <c r="I1461" s="4"/>
      <c r="J1461" s="33"/>
      <c r="K1461" s="33"/>
      <c r="M1461"/>
      <c r="N1461"/>
      <c r="O1461"/>
      <c r="P1461"/>
      <c r="Q1461"/>
      <c r="AB1461">
        <f>ROUND(([1]Source!BZ1422/100)*ROUND(([1]Source!AF1422*[1]Source!AV1422)*[1]Source!I1422, 2), 2)</f>
        <v>19209.41</v>
      </c>
      <c r="AC1461">
        <f>[1]Source!X1422</f>
        <v>19209.41</v>
      </c>
      <c r="AD1461">
        <f>ROUND(([1]Source!CA1422/100)*ROUND(([1]Source!AF1422*[1]Source!AV1422)*[1]Source!I1422, 2), 2)</f>
        <v>2744.2</v>
      </c>
      <c r="AE1461">
        <f>[1]Source!Y1422</f>
        <v>2744.2</v>
      </c>
      <c r="AF1461">
        <f>ROUND((175/100)*ROUND(([1]Source!AE1422*[1]Source!AV1422)*[1]Source!I1422, 2), 2)</f>
        <v>0</v>
      </c>
      <c r="AG1461">
        <f>ROUND((108/100)*ROUND([1]Source!CS1422*[1]Source!I1422, 2), 2)</f>
        <v>0</v>
      </c>
    </row>
    <row r="1462" spans="1:33" x14ac:dyDescent="0.2">
      <c r="C1462" s="40" t="str">
        <f>"Объем: "&amp;[1]Source!I1422&amp;"=66,86/"&amp;"10"</f>
        <v>Объем: 6,686=66,86/10</v>
      </c>
      <c r="M1462"/>
      <c r="N1462"/>
      <c r="O1462"/>
      <c r="P1462"/>
      <c r="Q1462"/>
    </row>
    <row r="1463" spans="1:33" ht="14.25" x14ac:dyDescent="0.2">
      <c r="A1463" s="31"/>
      <c r="B1463" s="31"/>
      <c r="C1463" s="31" t="s">
        <v>34</v>
      </c>
      <c r="D1463" s="32"/>
      <c r="E1463" s="4"/>
      <c r="F1463" s="33">
        <f>[1]Source!AO1422</f>
        <v>205.22</v>
      </c>
      <c r="G1463" s="34" t="str">
        <f>[1]Source!DG1422</f>
        <v>)*1*20</v>
      </c>
      <c r="H1463" s="4">
        <f>[1]Source!AV1422</f>
        <v>1</v>
      </c>
      <c r="I1463" s="4">
        <f>IF([1]Source!BA1422&lt;&gt; 0, [1]Source!BA1422, 1)</f>
        <v>1</v>
      </c>
      <c r="J1463" s="33">
        <f>[1]Source!S1422</f>
        <v>27442.02</v>
      </c>
      <c r="K1463" s="33"/>
      <c r="M1463"/>
      <c r="N1463"/>
      <c r="O1463"/>
      <c r="P1463"/>
      <c r="Q1463"/>
    </row>
    <row r="1464" spans="1:33" ht="14.25" x14ac:dyDescent="0.2">
      <c r="A1464" s="31"/>
      <c r="B1464" s="31"/>
      <c r="C1464" s="31" t="s">
        <v>40</v>
      </c>
      <c r="D1464" s="32" t="s">
        <v>39</v>
      </c>
      <c r="E1464" s="4">
        <f>[1]Source!AT1422</f>
        <v>70</v>
      </c>
      <c r="F1464" s="33"/>
      <c r="G1464" s="34"/>
      <c r="H1464" s="4"/>
      <c r="I1464" s="4"/>
      <c r="J1464" s="33">
        <f>SUM(AC1461:AC1463)</f>
        <v>19209.41</v>
      </c>
      <c r="K1464" s="33"/>
      <c r="M1464"/>
      <c r="N1464"/>
      <c r="O1464"/>
      <c r="P1464"/>
      <c r="Q1464"/>
    </row>
    <row r="1465" spans="1:33" ht="14.25" x14ac:dyDescent="0.2">
      <c r="A1465" s="31"/>
      <c r="B1465" s="31"/>
      <c r="C1465" s="31" t="s">
        <v>41</v>
      </c>
      <c r="D1465" s="32" t="s">
        <v>39</v>
      </c>
      <c r="E1465" s="4">
        <f>[1]Source!AU1422</f>
        <v>10</v>
      </c>
      <c r="F1465" s="33"/>
      <c r="G1465" s="34"/>
      <c r="H1465" s="4"/>
      <c r="I1465" s="4"/>
      <c r="J1465" s="33">
        <f>SUM(AE1461:AE1464)</f>
        <v>2744.2</v>
      </c>
      <c r="K1465" s="33"/>
      <c r="M1465"/>
      <c r="N1465"/>
      <c r="O1465"/>
      <c r="P1465"/>
      <c r="Q1465"/>
    </row>
    <row r="1466" spans="1:33" ht="14.25" x14ac:dyDescent="0.2">
      <c r="A1466" s="31"/>
      <c r="B1466" s="31"/>
      <c r="C1466" s="31" t="s">
        <v>42</v>
      </c>
      <c r="D1466" s="32" t="s">
        <v>43</v>
      </c>
      <c r="E1466" s="4">
        <f>[1]Source!AQ1422</f>
        <v>0.74</v>
      </c>
      <c r="F1466" s="33"/>
      <c r="G1466" s="34" t="str">
        <f>[1]Source!DI1422</f>
        <v>)*1*20</v>
      </c>
      <c r="H1466" s="4">
        <f>[1]Source!AV1422</f>
        <v>1</v>
      </c>
      <c r="I1466" s="4"/>
      <c r="J1466" s="33"/>
      <c r="K1466" s="33">
        <f>[1]Source!U1422</f>
        <v>98.952800000000011</v>
      </c>
      <c r="M1466"/>
      <c r="N1466"/>
      <c r="O1466"/>
      <c r="P1466"/>
      <c r="Q1466"/>
    </row>
    <row r="1467" spans="1:33" ht="15" x14ac:dyDescent="0.25">
      <c r="A1467" s="35"/>
      <c r="B1467" s="35"/>
      <c r="C1467" s="35"/>
      <c r="D1467" s="35"/>
      <c r="E1467" s="35"/>
      <c r="F1467" s="35"/>
      <c r="G1467" s="35"/>
      <c r="H1467" s="35"/>
      <c r="I1467" s="36">
        <f>J1463+J1464+J1465</f>
        <v>49395.63</v>
      </c>
      <c r="J1467" s="36"/>
      <c r="K1467" s="37">
        <f>IF([1]Source!I1422&lt;&gt;0, ROUND(I1467/[1]Source!I1422, 2), 0)</f>
        <v>7387.92</v>
      </c>
      <c r="M1467"/>
      <c r="N1467"/>
      <c r="O1467"/>
      <c r="P1467"/>
      <c r="Q1467"/>
      <c r="AA1467" s="38">
        <f>I1467</f>
        <v>49395.63</v>
      </c>
    </row>
    <row r="1468" spans="1:33" ht="42.75" x14ac:dyDescent="0.2">
      <c r="A1468" s="31">
        <v>208</v>
      </c>
      <c r="B1468" s="31" t="str">
        <f>[1]Source!F1423</f>
        <v>5.3-1102-26-2/1</v>
      </c>
      <c r="C1468" s="31" t="str">
        <f>[1]Source!G1423</f>
        <v>Очистка лотков с решетками от снега, добавлять к 3-1102-26-1 на каждые 100 см2 изменения сечения лотка</v>
      </c>
      <c r="D1468" s="32" t="str">
        <f>[1]Source!H1423</f>
        <v>10 м</v>
      </c>
      <c r="E1468" s="4">
        <f>[1]Source!I1423</f>
        <v>6.6859999999999999</v>
      </c>
      <c r="F1468" s="33"/>
      <c r="G1468" s="34"/>
      <c r="H1468" s="4"/>
      <c r="I1468" s="4"/>
      <c r="J1468" s="33"/>
      <c r="K1468" s="33"/>
      <c r="M1468"/>
      <c r="N1468"/>
      <c r="O1468"/>
      <c r="P1468"/>
      <c r="Q1468"/>
      <c r="AB1468">
        <f>ROUND(([1]Source!BZ1423/100)*ROUND(([1]Source!AF1423*[1]Source!AV1423)*[1]Source!I1423, 2), 2)</f>
        <v>15058.78</v>
      </c>
      <c r="AC1468">
        <f>[1]Source!X1423</f>
        <v>15058.78</v>
      </c>
      <c r="AD1468">
        <f>ROUND(([1]Source!CA1423/100)*ROUND(([1]Source!AF1423*[1]Source!AV1423)*[1]Source!I1423, 2), 2)</f>
        <v>2151.25</v>
      </c>
      <c r="AE1468">
        <f>[1]Source!Y1423</f>
        <v>2151.25</v>
      </c>
      <c r="AF1468">
        <f>ROUND((175/100)*ROUND(([1]Source!AE1423*[1]Source!AV1423)*[1]Source!I1423, 2), 2)</f>
        <v>0</v>
      </c>
      <c r="AG1468">
        <f>ROUND((108/100)*ROUND([1]Source!CS1423*[1]Source!I1423, 2), 2)</f>
        <v>0</v>
      </c>
    </row>
    <row r="1469" spans="1:33" x14ac:dyDescent="0.2">
      <c r="C1469" s="40" t="str">
        <f>"Объем: "&amp;[1]Source!I1423&amp;"=66,86/"&amp;"10"</f>
        <v>Объем: 6,686=66,86/10</v>
      </c>
      <c r="M1469"/>
      <c r="N1469"/>
      <c r="O1469"/>
      <c r="P1469"/>
      <c r="Q1469"/>
    </row>
    <row r="1470" spans="1:33" ht="14.25" x14ac:dyDescent="0.2">
      <c r="A1470" s="31"/>
      <c r="B1470" s="31"/>
      <c r="C1470" s="31" t="s">
        <v>34</v>
      </c>
      <c r="D1470" s="32"/>
      <c r="E1470" s="4"/>
      <c r="F1470" s="33">
        <f>[1]Source!AO1423</f>
        <v>22.19</v>
      </c>
      <c r="G1470" s="34" t="str">
        <f>[1]Source!DG1423</f>
        <v>)*1*7,25*20</v>
      </c>
      <c r="H1470" s="4">
        <f>[1]Source!AV1423</f>
        <v>1</v>
      </c>
      <c r="I1470" s="4">
        <f>IF([1]Source!BA1423&lt;&gt; 0, [1]Source!BA1423, 1)</f>
        <v>1</v>
      </c>
      <c r="J1470" s="33">
        <f>[1]Source!S1423</f>
        <v>21512.54</v>
      </c>
      <c r="K1470" s="33"/>
      <c r="M1470"/>
      <c r="N1470"/>
      <c r="O1470"/>
      <c r="P1470"/>
      <c r="Q1470"/>
    </row>
    <row r="1471" spans="1:33" ht="14.25" x14ac:dyDescent="0.2">
      <c r="A1471" s="31"/>
      <c r="B1471" s="31"/>
      <c r="C1471" s="31" t="s">
        <v>40</v>
      </c>
      <c r="D1471" s="32" t="s">
        <v>39</v>
      </c>
      <c r="E1471" s="4">
        <f>[1]Source!AT1423</f>
        <v>70</v>
      </c>
      <c r="F1471" s="33"/>
      <c r="G1471" s="34"/>
      <c r="H1471" s="4"/>
      <c r="I1471" s="4"/>
      <c r="J1471" s="33">
        <f>SUM(AC1468:AC1470)</f>
        <v>15058.78</v>
      </c>
      <c r="K1471" s="33"/>
      <c r="M1471"/>
      <c r="N1471"/>
      <c r="O1471"/>
      <c r="P1471"/>
      <c r="Q1471"/>
    </row>
    <row r="1472" spans="1:33" ht="14.25" x14ac:dyDescent="0.2">
      <c r="A1472" s="31"/>
      <c r="B1472" s="31"/>
      <c r="C1472" s="31" t="s">
        <v>41</v>
      </c>
      <c r="D1472" s="32" t="s">
        <v>39</v>
      </c>
      <c r="E1472" s="4">
        <f>[1]Source!AU1423</f>
        <v>10</v>
      </c>
      <c r="F1472" s="33"/>
      <c r="G1472" s="34"/>
      <c r="H1472" s="4"/>
      <c r="I1472" s="4"/>
      <c r="J1472" s="33">
        <f>SUM(AE1468:AE1471)</f>
        <v>2151.25</v>
      </c>
      <c r="K1472" s="33"/>
      <c r="M1472"/>
      <c r="N1472"/>
      <c r="O1472"/>
      <c r="P1472"/>
      <c r="Q1472"/>
    </row>
    <row r="1473" spans="1:33" ht="14.25" x14ac:dyDescent="0.2">
      <c r="A1473" s="31"/>
      <c r="B1473" s="31"/>
      <c r="C1473" s="31" t="s">
        <v>42</v>
      </c>
      <c r="D1473" s="32" t="s">
        <v>43</v>
      </c>
      <c r="E1473" s="4">
        <f>[1]Source!AQ1423</f>
        <v>0.08</v>
      </c>
      <c r="F1473" s="33"/>
      <c r="G1473" s="34" t="str">
        <f>[1]Source!DI1423</f>
        <v>)*1*7,25*20</v>
      </c>
      <c r="H1473" s="4">
        <f>[1]Source!AV1423</f>
        <v>1</v>
      </c>
      <c r="I1473" s="4"/>
      <c r="J1473" s="33"/>
      <c r="K1473" s="33">
        <f>[1]Source!U1423</f>
        <v>77.557599999999994</v>
      </c>
      <c r="M1473"/>
      <c r="N1473"/>
      <c r="O1473"/>
      <c r="P1473"/>
      <c r="Q1473"/>
    </row>
    <row r="1474" spans="1:33" ht="15" x14ac:dyDescent="0.25">
      <c r="A1474" s="35"/>
      <c r="B1474" s="35"/>
      <c r="C1474" s="35"/>
      <c r="D1474" s="35"/>
      <c r="E1474" s="35"/>
      <c r="F1474" s="35"/>
      <c r="G1474" s="35"/>
      <c r="H1474" s="35"/>
      <c r="I1474" s="36">
        <f>J1470+J1471+J1472</f>
        <v>38722.57</v>
      </c>
      <c r="J1474" s="36"/>
      <c r="K1474" s="37">
        <f>IF([1]Source!I1423&lt;&gt;0, ROUND(I1474/[1]Source!I1423, 2), 0)</f>
        <v>5791.59</v>
      </c>
      <c r="M1474"/>
      <c r="N1474"/>
      <c r="O1474"/>
      <c r="P1474"/>
      <c r="Q1474"/>
      <c r="AA1474" s="38">
        <f>I1474</f>
        <v>38722.57</v>
      </c>
    </row>
    <row r="1475" spans="1:33" ht="57" x14ac:dyDescent="0.2">
      <c r="A1475" s="31">
        <v>209</v>
      </c>
      <c r="B1475" s="31" t="str">
        <f>[1]Source!F1424</f>
        <v>5.3-1102-26-1/1</v>
      </c>
      <c r="C1475" s="31" t="str">
        <f>[1]Source!G1424</f>
        <v>Очистка лотков с решетками от снега, сечение лотка 100 см2, количество креплений решеток 20 шт.( сечение 1200 см2)</v>
      </c>
      <c r="D1475" s="32" t="str">
        <f>[1]Source!H1424</f>
        <v>10 м</v>
      </c>
      <c r="E1475" s="4">
        <f>[1]Source!I1424</f>
        <v>7.3280000000000003</v>
      </c>
      <c r="F1475" s="33"/>
      <c r="G1475" s="34"/>
      <c r="H1475" s="4"/>
      <c r="I1475" s="4"/>
      <c r="J1475" s="33"/>
      <c r="K1475" s="33"/>
      <c r="M1475"/>
      <c r="N1475"/>
      <c r="O1475"/>
      <c r="P1475"/>
      <c r="Q1475"/>
      <c r="AB1475">
        <f>ROUND(([1]Source!BZ1424/100)*ROUND(([1]Source!AF1424*[1]Source!AV1424)*[1]Source!I1424, 2), 2)</f>
        <v>21053.93</v>
      </c>
      <c r="AC1475">
        <f>[1]Source!X1424</f>
        <v>21053.93</v>
      </c>
      <c r="AD1475">
        <f>ROUND(([1]Source!CA1424/100)*ROUND(([1]Source!AF1424*[1]Source!AV1424)*[1]Source!I1424, 2), 2)</f>
        <v>3007.7</v>
      </c>
      <c r="AE1475">
        <f>[1]Source!Y1424</f>
        <v>3007.7</v>
      </c>
      <c r="AF1475">
        <f>ROUND((175/100)*ROUND(([1]Source!AE1424*[1]Source!AV1424)*[1]Source!I1424, 2), 2)</f>
        <v>0</v>
      </c>
      <c r="AG1475">
        <f>ROUND((108/100)*ROUND([1]Source!CS1424*[1]Source!I1424, 2), 2)</f>
        <v>0</v>
      </c>
    </row>
    <row r="1476" spans="1:33" x14ac:dyDescent="0.2">
      <c r="C1476" s="40" t="str">
        <f>"Объем: "&amp;[1]Source!I1424&amp;"=73,28/"&amp;"10"</f>
        <v>Объем: 7,328=73,28/10</v>
      </c>
      <c r="M1476"/>
      <c r="N1476"/>
      <c r="O1476"/>
      <c r="P1476"/>
      <c r="Q1476"/>
    </row>
    <row r="1477" spans="1:33" ht="14.25" x14ac:dyDescent="0.2">
      <c r="A1477" s="31"/>
      <c r="B1477" s="31"/>
      <c r="C1477" s="31" t="s">
        <v>34</v>
      </c>
      <c r="D1477" s="32"/>
      <c r="E1477" s="4"/>
      <c r="F1477" s="33">
        <f>[1]Source!AO1424</f>
        <v>205.22</v>
      </c>
      <c r="G1477" s="34" t="str">
        <f>[1]Source!DG1424</f>
        <v>)*1*20</v>
      </c>
      <c r="H1477" s="4">
        <f>[1]Source!AV1424</f>
        <v>1</v>
      </c>
      <c r="I1477" s="4">
        <f>IF([1]Source!BA1424&lt;&gt; 0, [1]Source!BA1424, 1)</f>
        <v>1</v>
      </c>
      <c r="J1477" s="33">
        <f>[1]Source!S1424</f>
        <v>30077.040000000001</v>
      </c>
      <c r="K1477" s="33"/>
      <c r="M1477"/>
      <c r="N1477"/>
      <c r="O1477"/>
      <c r="P1477"/>
      <c r="Q1477"/>
    </row>
    <row r="1478" spans="1:33" ht="14.25" x14ac:dyDescent="0.2">
      <c r="A1478" s="31"/>
      <c r="B1478" s="31"/>
      <c r="C1478" s="31" t="s">
        <v>40</v>
      </c>
      <c r="D1478" s="32" t="s">
        <v>39</v>
      </c>
      <c r="E1478" s="4">
        <f>[1]Source!AT1424</f>
        <v>70</v>
      </c>
      <c r="F1478" s="33"/>
      <c r="G1478" s="34"/>
      <c r="H1478" s="4"/>
      <c r="I1478" s="4"/>
      <c r="J1478" s="33">
        <f>SUM(AC1475:AC1477)</f>
        <v>21053.93</v>
      </c>
      <c r="K1478" s="33"/>
      <c r="M1478"/>
      <c r="N1478"/>
      <c r="O1478"/>
      <c r="P1478"/>
      <c r="Q1478"/>
    </row>
    <row r="1479" spans="1:33" ht="14.25" x14ac:dyDescent="0.2">
      <c r="A1479" s="31"/>
      <c r="B1479" s="31"/>
      <c r="C1479" s="31" t="s">
        <v>41</v>
      </c>
      <c r="D1479" s="32" t="s">
        <v>39</v>
      </c>
      <c r="E1479" s="4">
        <f>[1]Source!AU1424</f>
        <v>10</v>
      </c>
      <c r="F1479" s="33"/>
      <c r="G1479" s="34"/>
      <c r="H1479" s="4"/>
      <c r="I1479" s="4"/>
      <c r="J1479" s="33">
        <f>SUM(AE1475:AE1478)</f>
        <v>3007.7</v>
      </c>
      <c r="K1479" s="33"/>
      <c r="M1479"/>
      <c r="N1479"/>
      <c r="O1479"/>
      <c r="P1479"/>
      <c r="Q1479"/>
    </row>
    <row r="1480" spans="1:33" ht="14.25" x14ac:dyDescent="0.2">
      <c r="A1480" s="31"/>
      <c r="B1480" s="31"/>
      <c r="C1480" s="31" t="s">
        <v>42</v>
      </c>
      <c r="D1480" s="32" t="s">
        <v>43</v>
      </c>
      <c r="E1480" s="4">
        <f>[1]Source!AQ1424</f>
        <v>0.74</v>
      </c>
      <c r="F1480" s="33"/>
      <c r="G1480" s="34" t="str">
        <f>[1]Source!DI1424</f>
        <v>)*1*20</v>
      </c>
      <c r="H1480" s="4">
        <f>[1]Source!AV1424</f>
        <v>1</v>
      </c>
      <c r="I1480" s="4"/>
      <c r="J1480" s="33"/>
      <c r="K1480" s="33">
        <f>[1]Source!U1424</f>
        <v>108.45440000000001</v>
      </c>
      <c r="M1480"/>
      <c r="N1480"/>
      <c r="O1480"/>
      <c r="P1480"/>
      <c r="Q1480"/>
    </row>
    <row r="1481" spans="1:33" ht="15" x14ac:dyDescent="0.25">
      <c r="A1481" s="35"/>
      <c r="B1481" s="35"/>
      <c r="C1481" s="35"/>
      <c r="D1481" s="35"/>
      <c r="E1481" s="35"/>
      <c r="F1481" s="35"/>
      <c r="G1481" s="35"/>
      <c r="H1481" s="35"/>
      <c r="I1481" s="36">
        <f>J1477+J1478+J1479</f>
        <v>54138.67</v>
      </c>
      <c r="J1481" s="36"/>
      <c r="K1481" s="37">
        <f>IF([1]Source!I1424&lt;&gt;0, ROUND(I1481/[1]Source!I1424, 2), 0)</f>
        <v>7387.92</v>
      </c>
      <c r="M1481"/>
      <c r="N1481"/>
      <c r="O1481"/>
      <c r="P1481"/>
      <c r="Q1481"/>
      <c r="AA1481" s="38">
        <f>I1481</f>
        <v>54138.67</v>
      </c>
    </row>
    <row r="1482" spans="1:33" ht="42.75" x14ac:dyDescent="0.2">
      <c r="A1482" s="31">
        <v>210</v>
      </c>
      <c r="B1482" s="31" t="str">
        <f>[1]Source!F1425</f>
        <v>5.3-1102-26-2/1</v>
      </c>
      <c r="C1482" s="31" t="str">
        <f>[1]Source!G1425</f>
        <v>Очистка лотков с решетками от снега, добавлять к 3-1102-26-1 на каждые 100 см2 изменения сечения лотка</v>
      </c>
      <c r="D1482" s="32" t="str">
        <f>[1]Source!H1425</f>
        <v>10 м</v>
      </c>
      <c r="E1482" s="4">
        <f>[1]Source!I1425</f>
        <v>7.3280000000000003</v>
      </c>
      <c r="F1482" s="33"/>
      <c r="G1482" s="34"/>
      <c r="H1482" s="4"/>
      <c r="I1482" s="4"/>
      <c r="J1482" s="33"/>
      <c r="K1482" s="33"/>
      <c r="M1482"/>
      <c r="N1482"/>
      <c r="O1482"/>
      <c r="P1482"/>
      <c r="Q1482"/>
      <c r="AB1482">
        <f>ROUND(([1]Source!BZ1425/100)*ROUND(([1]Source!AF1425*[1]Source!AV1425)*[1]Source!I1425, 2), 2)</f>
        <v>25041.68</v>
      </c>
      <c r="AC1482">
        <f>[1]Source!X1425</f>
        <v>25041.68</v>
      </c>
      <c r="AD1482">
        <f>ROUND(([1]Source!CA1425/100)*ROUND(([1]Source!AF1425*[1]Source!AV1425)*[1]Source!I1425, 2), 2)</f>
        <v>3577.38</v>
      </c>
      <c r="AE1482">
        <f>[1]Source!Y1425</f>
        <v>3577.38</v>
      </c>
      <c r="AF1482">
        <f>ROUND((175/100)*ROUND(([1]Source!AE1425*[1]Source!AV1425)*[1]Source!I1425, 2), 2)</f>
        <v>0</v>
      </c>
      <c r="AG1482">
        <f>ROUND((108/100)*ROUND([1]Source!CS1425*[1]Source!I1425, 2), 2)</f>
        <v>0</v>
      </c>
    </row>
    <row r="1483" spans="1:33" x14ac:dyDescent="0.2">
      <c r="C1483" s="40" t="str">
        <f>"Объем: "&amp;[1]Source!I1425&amp;"=73,28/"&amp;"10"</f>
        <v>Объем: 7,328=73,28/10</v>
      </c>
      <c r="M1483"/>
      <c r="N1483"/>
      <c r="O1483"/>
      <c r="P1483"/>
      <c r="Q1483"/>
    </row>
    <row r="1484" spans="1:33" ht="14.25" x14ac:dyDescent="0.2">
      <c r="A1484" s="31"/>
      <c r="B1484" s="31"/>
      <c r="C1484" s="31" t="s">
        <v>34</v>
      </c>
      <c r="D1484" s="32"/>
      <c r="E1484" s="4"/>
      <c r="F1484" s="33">
        <f>[1]Source!AO1425</f>
        <v>22.19</v>
      </c>
      <c r="G1484" s="34" t="str">
        <f>[1]Source!DG1425</f>
        <v>)*1*11*20</v>
      </c>
      <c r="H1484" s="4">
        <f>[1]Source!AV1425</f>
        <v>1</v>
      </c>
      <c r="I1484" s="4">
        <f>IF([1]Source!BA1425&lt;&gt; 0, [1]Source!BA1425, 1)</f>
        <v>1</v>
      </c>
      <c r="J1484" s="33">
        <f>[1]Source!S1425</f>
        <v>35773.83</v>
      </c>
      <c r="K1484" s="33"/>
      <c r="M1484"/>
      <c r="N1484"/>
      <c r="O1484"/>
      <c r="P1484"/>
      <c r="Q1484"/>
    </row>
    <row r="1485" spans="1:33" ht="14.25" x14ac:dyDescent="0.2">
      <c r="A1485" s="31"/>
      <c r="B1485" s="31"/>
      <c r="C1485" s="31" t="s">
        <v>40</v>
      </c>
      <c r="D1485" s="32" t="s">
        <v>39</v>
      </c>
      <c r="E1485" s="4">
        <f>[1]Source!AT1425</f>
        <v>70</v>
      </c>
      <c r="F1485" s="33"/>
      <c r="G1485" s="34"/>
      <c r="H1485" s="4"/>
      <c r="I1485" s="4"/>
      <c r="J1485" s="33">
        <f>SUM(AC1482:AC1484)</f>
        <v>25041.68</v>
      </c>
      <c r="K1485" s="33"/>
      <c r="M1485"/>
      <c r="N1485"/>
      <c r="O1485"/>
      <c r="P1485"/>
      <c r="Q1485"/>
    </row>
    <row r="1486" spans="1:33" ht="14.25" x14ac:dyDescent="0.2">
      <c r="A1486" s="31"/>
      <c r="B1486" s="31"/>
      <c r="C1486" s="31" t="s">
        <v>41</v>
      </c>
      <c r="D1486" s="32" t="s">
        <v>39</v>
      </c>
      <c r="E1486" s="4">
        <f>[1]Source!AU1425</f>
        <v>10</v>
      </c>
      <c r="F1486" s="33"/>
      <c r="G1486" s="34"/>
      <c r="H1486" s="4"/>
      <c r="I1486" s="4"/>
      <c r="J1486" s="33">
        <f>SUM(AE1482:AE1485)</f>
        <v>3577.38</v>
      </c>
      <c r="K1486" s="33"/>
      <c r="M1486"/>
      <c r="N1486"/>
      <c r="O1486"/>
      <c r="P1486"/>
      <c r="Q1486"/>
    </row>
    <row r="1487" spans="1:33" ht="14.25" x14ac:dyDescent="0.2">
      <c r="A1487" s="31"/>
      <c r="B1487" s="31"/>
      <c r="C1487" s="31" t="s">
        <v>42</v>
      </c>
      <c r="D1487" s="32" t="s">
        <v>43</v>
      </c>
      <c r="E1487" s="4">
        <f>[1]Source!AQ1425</f>
        <v>0.08</v>
      </c>
      <c r="F1487" s="33"/>
      <c r="G1487" s="34" t="str">
        <f>[1]Source!DI1425</f>
        <v>)*1*11*20</v>
      </c>
      <c r="H1487" s="4">
        <f>[1]Source!AV1425</f>
        <v>1</v>
      </c>
      <c r="I1487" s="4"/>
      <c r="J1487" s="33"/>
      <c r="K1487" s="33">
        <f>[1]Source!U1425</f>
        <v>128.97280000000001</v>
      </c>
      <c r="M1487"/>
      <c r="N1487"/>
      <c r="O1487"/>
      <c r="P1487"/>
      <c r="Q1487"/>
    </row>
    <row r="1488" spans="1:33" ht="15" x14ac:dyDescent="0.25">
      <c r="A1488" s="35"/>
      <c r="B1488" s="35"/>
      <c r="C1488" s="35"/>
      <c r="D1488" s="35"/>
      <c r="E1488" s="35"/>
      <c r="F1488" s="35"/>
      <c r="G1488" s="35"/>
      <c r="H1488" s="35"/>
      <c r="I1488" s="36">
        <f>J1484+J1485+J1486</f>
        <v>64392.89</v>
      </c>
      <c r="J1488" s="36"/>
      <c r="K1488" s="37">
        <f>IF([1]Source!I1425&lt;&gt;0, ROUND(I1488/[1]Source!I1425, 2), 0)</f>
        <v>8787.24</v>
      </c>
      <c r="M1488"/>
      <c r="N1488"/>
      <c r="O1488"/>
      <c r="P1488"/>
      <c r="Q1488"/>
      <c r="AA1488" s="38">
        <f>I1488</f>
        <v>64392.89</v>
      </c>
    </row>
    <row r="1489" spans="1:33" ht="57" x14ac:dyDescent="0.2">
      <c r="A1489" s="31">
        <v>211</v>
      </c>
      <c r="B1489" s="31" t="str">
        <f>[1]Source!F1426</f>
        <v>5.3-1102-26-1/1</v>
      </c>
      <c r="C1489" s="31" t="str">
        <f>[1]Source!G1426</f>
        <v>Очистка лотков с решетками от снега, сечение лотка 100 см2, количество креплений решеток 20 шт.( сечение 2400 см2)</v>
      </c>
      <c r="D1489" s="32" t="str">
        <f>[1]Source!H1426</f>
        <v>10 м</v>
      </c>
      <c r="E1489" s="4">
        <f>[1]Source!I1426</f>
        <v>6.35</v>
      </c>
      <c r="F1489" s="33"/>
      <c r="G1489" s="34"/>
      <c r="H1489" s="4"/>
      <c r="I1489" s="4"/>
      <c r="J1489" s="33"/>
      <c r="K1489" s="33"/>
      <c r="M1489"/>
      <c r="N1489"/>
      <c r="O1489"/>
      <c r="P1489"/>
      <c r="Q1489"/>
      <c r="AB1489">
        <f>ROUND(([1]Source!BZ1426/100)*ROUND(([1]Source!AF1426*[1]Source!AV1426)*[1]Source!I1426, 2), 2)</f>
        <v>18244.060000000001</v>
      </c>
      <c r="AC1489">
        <f>[1]Source!X1426</f>
        <v>18244.060000000001</v>
      </c>
      <c r="AD1489">
        <f>ROUND(([1]Source!CA1426/100)*ROUND(([1]Source!AF1426*[1]Source!AV1426)*[1]Source!I1426, 2), 2)</f>
        <v>2606.29</v>
      </c>
      <c r="AE1489">
        <f>[1]Source!Y1426</f>
        <v>2606.29</v>
      </c>
      <c r="AF1489">
        <f>ROUND((175/100)*ROUND(([1]Source!AE1426*[1]Source!AV1426)*[1]Source!I1426, 2), 2)</f>
        <v>0</v>
      </c>
      <c r="AG1489">
        <f>ROUND((108/100)*ROUND([1]Source!CS1426*[1]Source!I1426, 2), 2)</f>
        <v>0</v>
      </c>
    </row>
    <row r="1490" spans="1:33" x14ac:dyDescent="0.2">
      <c r="C1490" s="40" t="str">
        <f>"Объем: "&amp;[1]Source!I1426&amp;"=63,5/"&amp;"10"</f>
        <v>Объем: 6,35=63,5/10</v>
      </c>
      <c r="M1490"/>
      <c r="N1490"/>
      <c r="O1490"/>
      <c r="P1490"/>
      <c r="Q1490"/>
    </row>
    <row r="1491" spans="1:33" ht="14.25" x14ac:dyDescent="0.2">
      <c r="A1491" s="31"/>
      <c r="B1491" s="31"/>
      <c r="C1491" s="31" t="s">
        <v>34</v>
      </c>
      <c r="D1491" s="32"/>
      <c r="E1491" s="4"/>
      <c r="F1491" s="33">
        <f>[1]Source!AO1426</f>
        <v>205.22</v>
      </c>
      <c r="G1491" s="34" t="str">
        <f>[1]Source!DG1426</f>
        <v>)*1*20</v>
      </c>
      <c r="H1491" s="4">
        <f>[1]Source!AV1426</f>
        <v>1</v>
      </c>
      <c r="I1491" s="4">
        <f>IF([1]Source!BA1426&lt;&gt; 0, [1]Source!BA1426, 1)</f>
        <v>1</v>
      </c>
      <c r="J1491" s="33">
        <f>[1]Source!S1426</f>
        <v>26062.94</v>
      </c>
      <c r="K1491" s="33"/>
      <c r="M1491"/>
      <c r="N1491"/>
      <c r="O1491"/>
      <c r="P1491"/>
      <c r="Q1491"/>
    </row>
    <row r="1492" spans="1:33" ht="14.25" x14ac:dyDescent="0.2">
      <c r="A1492" s="31"/>
      <c r="B1492" s="31"/>
      <c r="C1492" s="31" t="s">
        <v>40</v>
      </c>
      <c r="D1492" s="32" t="s">
        <v>39</v>
      </c>
      <c r="E1492" s="4">
        <f>[1]Source!AT1426</f>
        <v>70</v>
      </c>
      <c r="F1492" s="33"/>
      <c r="G1492" s="34"/>
      <c r="H1492" s="4"/>
      <c r="I1492" s="4"/>
      <c r="J1492" s="33">
        <f>SUM(AC1489:AC1491)</f>
        <v>18244.060000000001</v>
      </c>
      <c r="K1492" s="33"/>
      <c r="M1492"/>
      <c r="N1492"/>
      <c r="O1492"/>
      <c r="P1492"/>
      <c r="Q1492"/>
    </row>
    <row r="1493" spans="1:33" ht="14.25" x14ac:dyDescent="0.2">
      <c r="A1493" s="31"/>
      <c r="B1493" s="31"/>
      <c r="C1493" s="31" t="s">
        <v>41</v>
      </c>
      <c r="D1493" s="32" t="s">
        <v>39</v>
      </c>
      <c r="E1493" s="4">
        <f>[1]Source!AU1426</f>
        <v>10</v>
      </c>
      <c r="F1493" s="33"/>
      <c r="G1493" s="34"/>
      <c r="H1493" s="4"/>
      <c r="I1493" s="4"/>
      <c r="J1493" s="33">
        <f>SUM(AE1489:AE1492)</f>
        <v>2606.29</v>
      </c>
      <c r="K1493" s="33"/>
      <c r="M1493"/>
      <c r="N1493"/>
      <c r="O1493"/>
      <c r="P1493"/>
      <c r="Q1493"/>
    </row>
    <row r="1494" spans="1:33" ht="14.25" x14ac:dyDescent="0.2">
      <c r="A1494" s="31"/>
      <c r="B1494" s="31"/>
      <c r="C1494" s="31" t="s">
        <v>42</v>
      </c>
      <c r="D1494" s="32" t="s">
        <v>43</v>
      </c>
      <c r="E1494" s="4">
        <f>[1]Source!AQ1426</f>
        <v>0.74</v>
      </c>
      <c r="F1494" s="33"/>
      <c r="G1494" s="34" t="str">
        <f>[1]Source!DI1426</f>
        <v>)*1*20</v>
      </c>
      <c r="H1494" s="4">
        <f>[1]Source!AV1426</f>
        <v>1</v>
      </c>
      <c r="I1494" s="4"/>
      <c r="J1494" s="33"/>
      <c r="K1494" s="33">
        <f>[1]Source!U1426</f>
        <v>93.98</v>
      </c>
      <c r="M1494"/>
      <c r="N1494"/>
      <c r="O1494"/>
      <c r="P1494"/>
      <c r="Q1494"/>
    </row>
    <row r="1495" spans="1:33" ht="15" x14ac:dyDescent="0.25">
      <c r="A1495" s="35"/>
      <c r="B1495" s="35"/>
      <c r="C1495" s="35"/>
      <c r="D1495" s="35"/>
      <c r="E1495" s="35"/>
      <c r="F1495" s="35"/>
      <c r="G1495" s="35"/>
      <c r="H1495" s="35"/>
      <c r="I1495" s="36">
        <f>J1491+J1492+J1493</f>
        <v>46913.29</v>
      </c>
      <c r="J1495" s="36"/>
      <c r="K1495" s="37">
        <f>IF([1]Source!I1426&lt;&gt;0, ROUND(I1495/[1]Source!I1426, 2), 0)</f>
        <v>7387.92</v>
      </c>
      <c r="M1495"/>
      <c r="N1495"/>
      <c r="O1495"/>
      <c r="P1495"/>
      <c r="Q1495"/>
      <c r="AA1495" s="38">
        <f>I1495</f>
        <v>46913.29</v>
      </c>
    </row>
    <row r="1496" spans="1:33" ht="42.75" x14ac:dyDescent="0.2">
      <c r="A1496" s="31">
        <v>212</v>
      </c>
      <c r="B1496" s="31" t="str">
        <f>[1]Source!F1427</f>
        <v>5.3-1102-26-2/1</v>
      </c>
      <c r="C1496" s="31" t="str">
        <f>[1]Source!G1427</f>
        <v>Очистка лотков с решетками от снега, добавлять к 3-1102-26-1 на каждые 100 см2 изменения сечения лотка</v>
      </c>
      <c r="D1496" s="32" t="str">
        <f>[1]Source!H1427</f>
        <v>10 м</v>
      </c>
      <c r="E1496" s="4">
        <f>[1]Source!I1427</f>
        <v>6.35</v>
      </c>
      <c r="F1496" s="33"/>
      <c r="G1496" s="34"/>
      <c r="H1496" s="4"/>
      <c r="I1496" s="4"/>
      <c r="J1496" s="33"/>
      <c r="K1496" s="33"/>
      <c r="M1496"/>
      <c r="N1496"/>
      <c r="O1496"/>
      <c r="P1496"/>
      <c r="Q1496"/>
      <c r="AB1496">
        <f>ROUND(([1]Source!BZ1427/100)*ROUND(([1]Source!AF1427*[1]Source!AV1427)*[1]Source!I1427, 2), 2)</f>
        <v>45371.89</v>
      </c>
      <c r="AC1496">
        <f>[1]Source!X1427</f>
        <v>45371.89</v>
      </c>
      <c r="AD1496">
        <f>ROUND(([1]Source!CA1427/100)*ROUND(([1]Source!AF1427*[1]Source!AV1427)*[1]Source!I1427, 2), 2)</f>
        <v>6481.7</v>
      </c>
      <c r="AE1496">
        <f>[1]Source!Y1427</f>
        <v>6481.7</v>
      </c>
      <c r="AF1496">
        <f>ROUND((175/100)*ROUND(([1]Source!AE1427*[1]Source!AV1427)*[1]Source!I1427, 2), 2)</f>
        <v>0</v>
      </c>
      <c r="AG1496">
        <f>ROUND((108/100)*ROUND([1]Source!CS1427*[1]Source!I1427, 2), 2)</f>
        <v>0</v>
      </c>
    </row>
    <row r="1497" spans="1:33" x14ac:dyDescent="0.2">
      <c r="C1497" s="40" t="str">
        <f>"Объем: "&amp;[1]Source!I1427&amp;"=63,5/"&amp;"10"</f>
        <v>Объем: 6,35=63,5/10</v>
      </c>
      <c r="M1497"/>
      <c r="N1497"/>
      <c r="O1497"/>
      <c r="P1497"/>
      <c r="Q1497"/>
    </row>
    <row r="1498" spans="1:33" ht="14.25" x14ac:dyDescent="0.2">
      <c r="A1498" s="31"/>
      <c r="B1498" s="31"/>
      <c r="C1498" s="31" t="s">
        <v>34</v>
      </c>
      <c r="D1498" s="32"/>
      <c r="E1498" s="4"/>
      <c r="F1498" s="33">
        <f>[1]Source!AO1427</f>
        <v>22.19</v>
      </c>
      <c r="G1498" s="34" t="str">
        <f>[1]Source!DG1427</f>
        <v>)*1*23*20</v>
      </c>
      <c r="H1498" s="4">
        <f>[1]Source!AV1427</f>
        <v>1</v>
      </c>
      <c r="I1498" s="4">
        <f>IF([1]Source!BA1427&lt;&gt; 0, [1]Source!BA1427, 1)</f>
        <v>1</v>
      </c>
      <c r="J1498" s="33">
        <f>[1]Source!S1427</f>
        <v>64816.99</v>
      </c>
      <c r="K1498" s="33"/>
      <c r="M1498"/>
      <c r="N1498"/>
      <c r="O1498"/>
      <c r="P1498"/>
      <c r="Q1498"/>
    </row>
    <row r="1499" spans="1:33" ht="14.25" x14ac:dyDescent="0.2">
      <c r="A1499" s="31"/>
      <c r="B1499" s="31"/>
      <c r="C1499" s="31" t="s">
        <v>40</v>
      </c>
      <c r="D1499" s="32" t="s">
        <v>39</v>
      </c>
      <c r="E1499" s="4">
        <f>[1]Source!AT1427</f>
        <v>70</v>
      </c>
      <c r="F1499" s="33"/>
      <c r="G1499" s="34"/>
      <c r="H1499" s="4"/>
      <c r="I1499" s="4"/>
      <c r="J1499" s="33">
        <f>SUM(AC1496:AC1498)</f>
        <v>45371.89</v>
      </c>
      <c r="K1499" s="33"/>
      <c r="M1499"/>
      <c r="N1499"/>
      <c r="O1499"/>
      <c r="P1499"/>
      <c r="Q1499"/>
    </row>
    <row r="1500" spans="1:33" ht="14.25" x14ac:dyDescent="0.2">
      <c r="A1500" s="31"/>
      <c r="B1500" s="31"/>
      <c r="C1500" s="31" t="s">
        <v>41</v>
      </c>
      <c r="D1500" s="32" t="s">
        <v>39</v>
      </c>
      <c r="E1500" s="4">
        <f>[1]Source!AU1427</f>
        <v>10</v>
      </c>
      <c r="F1500" s="33"/>
      <c r="G1500" s="34"/>
      <c r="H1500" s="4"/>
      <c r="I1500" s="4"/>
      <c r="J1500" s="33">
        <f>SUM(AE1496:AE1499)</f>
        <v>6481.7</v>
      </c>
      <c r="K1500" s="33"/>
      <c r="M1500"/>
      <c r="N1500"/>
      <c r="O1500"/>
      <c r="P1500"/>
      <c r="Q1500"/>
    </row>
    <row r="1501" spans="1:33" ht="14.25" x14ac:dyDescent="0.2">
      <c r="A1501" s="31"/>
      <c r="B1501" s="31"/>
      <c r="C1501" s="31" t="s">
        <v>42</v>
      </c>
      <c r="D1501" s="32" t="s">
        <v>43</v>
      </c>
      <c r="E1501" s="4">
        <f>[1]Source!AQ1427</f>
        <v>0.08</v>
      </c>
      <c r="F1501" s="33"/>
      <c r="G1501" s="34" t="str">
        <f>[1]Source!DI1427</f>
        <v>)*1*23*20</v>
      </c>
      <c r="H1501" s="4">
        <f>[1]Source!AV1427</f>
        <v>1</v>
      </c>
      <c r="I1501" s="4"/>
      <c r="J1501" s="33"/>
      <c r="K1501" s="33">
        <f>[1]Source!U1427</f>
        <v>233.68</v>
      </c>
      <c r="M1501"/>
      <c r="N1501"/>
      <c r="O1501"/>
      <c r="P1501"/>
      <c r="Q1501"/>
    </row>
    <row r="1502" spans="1:33" ht="15" x14ac:dyDescent="0.25">
      <c r="A1502" s="35"/>
      <c r="B1502" s="35"/>
      <c r="C1502" s="35"/>
      <c r="D1502" s="35"/>
      <c r="E1502" s="35"/>
      <c r="F1502" s="35"/>
      <c r="G1502" s="35"/>
      <c r="H1502" s="35"/>
      <c r="I1502" s="36">
        <f>J1498+J1499+J1500</f>
        <v>116670.58</v>
      </c>
      <c r="J1502" s="36"/>
      <c r="K1502" s="37">
        <f>IF([1]Source!I1427&lt;&gt;0, ROUND(I1502/[1]Source!I1427, 2), 0)</f>
        <v>18373.32</v>
      </c>
      <c r="M1502"/>
      <c r="N1502"/>
      <c r="O1502"/>
      <c r="P1502"/>
      <c r="Q1502"/>
      <c r="AA1502" s="38">
        <f>I1502</f>
        <v>116670.58</v>
      </c>
    </row>
    <row r="1503" spans="1:33" ht="42.75" x14ac:dyDescent="0.2">
      <c r="A1503" s="31">
        <v>213</v>
      </c>
      <c r="B1503" s="31" t="str">
        <f>[1]Source!F1428</f>
        <v>5.3-1102-26-3/1</v>
      </c>
      <c r="C1503" s="31" t="str">
        <f>[1]Source!G1428</f>
        <v>Очистка лотков с решетками от снега, добавлять к 3-1102-26-1 на каждые 10 креплений решеток</v>
      </c>
      <c r="D1503" s="32" t="str">
        <f>[1]Source!H1428</f>
        <v>10 шт.</v>
      </c>
      <c r="E1503" s="4">
        <f>[1]Source!I1428</f>
        <v>182.52</v>
      </c>
      <c r="F1503" s="33"/>
      <c r="G1503" s="34"/>
      <c r="H1503" s="4"/>
      <c r="I1503" s="4"/>
      <c r="J1503" s="33"/>
      <c r="K1503" s="33"/>
      <c r="M1503"/>
      <c r="N1503"/>
      <c r="O1503"/>
      <c r="P1503"/>
      <c r="Q1503"/>
      <c r="AB1503">
        <f>ROUND(([1]Source!BZ1428/100)*ROUND(([1]Source!AF1428*[1]Source!AV1428)*[1]Source!I1428, 2), 2)</f>
        <v>120455.9</v>
      </c>
      <c r="AC1503">
        <f>[1]Source!X1428</f>
        <v>120455.9</v>
      </c>
      <c r="AD1503">
        <f>ROUND(([1]Source!CA1428/100)*ROUND(([1]Source!AF1428*[1]Source!AV1428)*[1]Source!I1428, 2), 2)</f>
        <v>17207.990000000002</v>
      </c>
      <c r="AE1503">
        <f>[1]Source!Y1428</f>
        <v>17207.990000000002</v>
      </c>
      <c r="AF1503">
        <f>ROUND((175/100)*ROUND(([1]Source!AE1428*[1]Source!AV1428)*[1]Source!I1428, 2), 2)</f>
        <v>0</v>
      </c>
      <c r="AG1503">
        <f>ROUND((108/100)*ROUND([1]Source!CS1428*[1]Source!I1428, 2), 2)</f>
        <v>0</v>
      </c>
    </row>
    <row r="1504" spans="1:33" x14ac:dyDescent="0.2">
      <c r="C1504" s="40" t="str">
        <f>"Объем: "&amp;[1]Source!I1428&amp;"=1825,2/"&amp;"10"</f>
        <v>Объем: 182,52=1825,2/10</v>
      </c>
      <c r="M1504"/>
      <c r="N1504"/>
      <c r="O1504"/>
      <c r="P1504"/>
      <c r="Q1504"/>
    </row>
    <row r="1505" spans="1:33" ht="14.25" x14ac:dyDescent="0.2">
      <c r="A1505" s="31"/>
      <c r="B1505" s="31"/>
      <c r="C1505" s="31" t="s">
        <v>34</v>
      </c>
      <c r="D1505" s="32"/>
      <c r="E1505" s="4"/>
      <c r="F1505" s="33">
        <f>[1]Source!AO1428</f>
        <v>47.14</v>
      </c>
      <c r="G1505" s="34" t="str">
        <f>[1]Source!DG1428</f>
        <v>)*1*20</v>
      </c>
      <c r="H1505" s="4">
        <f>[1]Source!AV1428</f>
        <v>1</v>
      </c>
      <c r="I1505" s="4">
        <f>IF([1]Source!BA1428&lt;&gt; 0, [1]Source!BA1428, 1)</f>
        <v>1</v>
      </c>
      <c r="J1505" s="33">
        <f>[1]Source!S1428</f>
        <v>172079.86</v>
      </c>
      <c r="K1505" s="33"/>
      <c r="M1505"/>
      <c r="N1505"/>
      <c r="O1505"/>
      <c r="P1505"/>
      <c r="Q1505"/>
    </row>
    <row r="1506" spans="1:33" ht="14.25" x14ac:dyDescent="0.2">
      <c r="A1506" s="31"/>
      <c r="B1506" s="31"/>
      <c r="C1506" s="31" t="s">
        <v>40</v>
      </c>
      <c r="D1506" s="32" t="s">
        <v>39</v>
      </c>
      <c r="E1506" s="4">
        <f>[1]Source!AT1428</f>
        <v>70</v>
      </c>
      <c r="F1506" s="33"/>
      <c r="G1506" s="34"/>
      <c r="H1506" s="4"/>
      <c r="I1506" s="4"/>
      <c r="J1506" s="33">
        <f>SUM(AC1503:AC1505)</f>
        <v>120455.9</v>
      </c>
      <c r="K1506" s="33"/>
      <c r="M1506"/>
      <c r="N1506"/>
      <c r="O1506"/>
      <c r="P1506"/>
      <c r="Q1506"/>
    </row>
    <row r="1507" spans="1:33" ht="14.25" x14ac:dyDescent="0.2">
      <c r="A1507" s="31"/>
      <c r="B1507" s="31"/>
      <c r="C1507" s="31" t="s">
        <v>41</v>
      </c>
      <c r="D1507" s="32" t="s">
        <v>39</v>
      </c>
      <c r="E1507" s="4">
        <f>[1]Source!AU1428</f>
        <v>10</v>
      </c>
      <c r="F1507" s="33"/>
      <c r="G1507" s="34"/>
      <c r="H1507" s="4"/>
      <c r="I1507" s="4"/>
      <c r="J1507" s="33">
        <f>SUM(AE1503:AE1506)</f>
        <v>17207.990000000002</v>
      </c>
      <c r="K1507" s="33"/>
      <c r="M1507"/>
      <c r="N1507"/>
      <c r="O1507"/>
      <c r="P1507"/>
      <c r="Q1507"/>
    </row>
    <row r="1508" spans="1:33" ht="14.25" x14ac:dyDescent="0.2">
      <c r="A1508" s="31"/>
      <c r="B1508" s="31"/>
      <c r="C1508" s="31" t="s">
        <v>42</v>
      </c>
      <c r="D1508" s="32" t="s">
        <v>43</v>
      </c>
      <c r="E1508" s="4">
        <f>[1]Source!AQ1428</f>
        <v>0.17</v>
      </c>
      <c r="F1508" s="33"/>
      <c r="G1508" s="34" t="str">
        <f>[1]Source!DI1428</f>
        <v>)*1*20</v>
      </c>
      <c r="H1508" s="4">
        <f>[1]Source!AV1428</f>
        <v>1</v>
      </c>
      <c r="I1508" s="4"/>
      <c r="J1508" s="33"/>
      <c r="K1508" s="33">
        <f>[1]Source!U1428</f>
        <v>620.5680000000001</v>
      </c>
      <c r="M1508"/>
      <c r="N1508"/>
      <c r="O1508"/>
      <c r="P1508"/>
      <c r="Q1508"/>
    </row>
    <row r="1509" spans="1:33" ht="15" x14ac:dyDescent="0.25">
      <c r="A1509" s="35"/>
      <c r="B1509" s="35"/>
      <c r="C1509" s="35"/>
      <c r="D1509" s="35"/>
      <c r="E1509" s="35"/>
      <c r="F1509" s="35"/>
      <c r="G1509" s="35"/>
      <c r="H1509" s="35"/>
      <c r="I1509" s="36">
        <f>J1505+J1506+J1507</f>
        <v>309743.75</v>
      </c>
      <c r="J1509" s="36"/>
      <c r="K1509" s="37">
        <f>IF([1]Source!I1428&lt;&gt;0, ROUND(I1509/[1]Source!I1428, 2), 0)</f>
        <v>1697.04</v>
      </c>
      <c r="M1509"/>
      <c r="N1509"/>
      <c r="O1509"/>
      <c r="P1509"/>
      <c r="Q1509"/>
      <c r="AA1509" s="38">
        <f>I1509</f>
        <v>309743.75</v>
      </c>
    </row>
    <row r="1510" spans="1:33" ht="57" x14ac:dyDescent="0.2">
      <c r="A1510" s="31">
        <v>214</v>
      </c>
      <c r="B1510" s="31" t="str">
        <f>[1]Source!F1429</f>
        <v>5.3-1102-27-1/1</v>
      </c>
      <c r="C1510" s="31" t="str">
        <f>[1]Source!G1429</f>
        <v>Очистка лотков с решетками от наледи, сечение лотка 100 см2, количество креплений решеток 20 шт.( сечение 100 см2)</v>
      </c>
      <c r="D1510" s="32" t="str">
        <f>[1]Source!H1429</f>
        <v>10 м</v>
      </c>
      <c r="E1510" s="4">
        <f>[1]Source!I1429</f>
        <v>7.3330000000000002</v>
      </c>
      <c r="F1510" s="33"/>
      <c r="G1510" s="34"/>
      <c r="H1510" s="4"/>
      <c r="I1510" s="4"/>
      <c r="J1510" s="33"/>
      <c r="K1510" s="33"/>
      <c r="M1510"/>
      <c r="N1510"/>
      <c r="O1510"/>
      <c r="P1510"/>
      <c r="Q1510"/>
      <c r="AB1510">
        <f>ROUND(([1]Source!BZ1429/100)*ROUND(([1]Source!AF1429*[1]Source!AV1429)*[1]Source!I1429, 2), 2)</f>
        <v>47830.22</v>
      </c>
      <c r="AC1510">
        <f>[1]Source!X1429</f>
        <v>47830.22</v>
      </c>
      <c r="AD1510">
        <f>ROUND(([1]Source!CA1429/100)*ROUND(([1]Source!AF1429*[1]Source!AV1429)*[1]Source!I1429, 2), 2)</f>
        <v>6832.89</v>
      </c>
      <c r="AE1510">
        <f>[1]Source!Y1429</f>
        <v>6832.89</v>
      </c>
      <c r="AF1510">
        <f>ROUND((175/100)*ROUND(([1]Source!AE1429*[1]Source!AV1429)*[1]Source!I1429, 2), 2)</f>
        <v>0</v>
      </c>
      <c r="AG1510">
        <f>ROUND((108/100)*ROUND([1]Source!CS1429*[1]Source!I1429, 2), 2)</f>
        <v>0</v>
      </c>
    </row>
    <row r="1511" spans="1:33" x14ac:dyDescent="0.2">
      <c r="C1511" s="40" t="str">
        <f>"Объем: "&amp;[1]Source!I1429&amp;"=73,33/"&amp;"10"</f>
        <v>Объем: 7,333=73,33/10</v>
      </c>
      <c r="M1511"/>
      <c r="N1511"/>
      <c r="O1511"/>
      <c r="P1511"/>
      <c r="Q1511"/>
    </row>
    <row r="1512" spans="1:33" ht="14.25" x14ac:dyDescent="0.2">
      <c r="A1512" s="31"/>
      <c r="B1512" s="31"/>
      <c r="C1512" s="31" t="s">
        <v>34</v>
      </c>
      <c r="D1512" s="32"/>
      <c r="E1512" s="4"/>
      <c r="F1512" s="33">
        <f>[1]Source!AO1429</f>
        <v>931.8</v>
      </c>
      <c r="G1512" s="34" t="str">
        <f>[1]Source!DG1429</f>
        <v>)*1*10</v>
      </c>
      <c r="H1512" s="4">
        <f>[1]Source!AV1429</f>
        <v>1</v>
      </c>
      <c r="I1512" s="4">
        <f>IF([1]Source!BA1429&lt;&gt; 0, [1]Source!BA1429, 1)</f>
        <v>1</v>
      </c>
      <c r="J1512" s="33">
        <f>[1]Source!S1429</f>
        <v>68328.89</v>
      </c>
      <c r="K1512" s="33"/>
      <c r="M1512"/>
      <c r="N1512"/>
      <c r="O1512"/>
      <c r="P1512"/>
      <c r="Q1512"/>
    </row>
    <row r="1513" spans="1:33" ht="14.25" x14ac:dyDescent="0.2">
      <c r="A1513" s="31"/>
      <c r="B1513" s="31"/>
      <c r="C1513" s="31" t="s">
        <v>40</v>
      </c>
      <c r="D1513" s="32" t="s">
        <v>39</v>
      </c>
      <c r="E1513" s="4">
        <f>[1]Source!AT1429</f>
        <v>70</v>
      </c>
      <c r="F1513" s="33"/>
      <c r="G1513" s="34"/>
      <c r="H1513" s="4"/>
      <c r="I1513" s="4"/>
      <c r="J1513" s="33">
        <f>SUM(AC1510:AC1512)</f>
        <v>47830.22</v>
      </c>
      <c r="K1513" s="33"/>
      <c r="M1513"/>
      <c r="N1513"/>
      <c r="O1513"/>
      <c r="P1513"/>
      <c r="Q1513"/>
    </row>
    <row r="1514" spans="1:33" ht="14.25" x14ac:dyDescent="0.2">
      <c r="A1514" s="31"/>
      <c r="B1514" s="31"/>
      <c r="C1514" s="31" t="s">
        <v>41</v>
      </c>
      <c r="D1514" s="32" t="s">
        <v>39</v>
      </c>
      <c r="E1514" s="4">
        <f>[1]Source!AU1429</f>
        <v>10</v>
      </c>
      <c r="F1514" s="33"/>
      <c r="G1514" s="34"/>
      <c r="H1514" s="4"/>
      <c r="I1514" s="4"/>
      <c r="J1514" s="33">
        <f>SUM(AE1510:AE1513)</f>
        <v>6832.89</v>
      </c>
      <c r="K1514" s="33"/>
      <c r="M1514"/>
      <c r="N1514"/>
      <c r="O1514"/>
      <c r="P1514"/>
      <c r="Q1514"/>
    </row>
    <row r="1515" spans="1:33" ht="14.25" x14ac:dyDescent="0.2">
      <c r="A1515" s="31"/>
      <c r="B1515" s="31"/>
      <c r="C1515" s="31" t="s">
        <v>42</v>
      </c>
      <c r="D1515" s="32" t="s">
        <v>43</v>
      </c>
      <c r="E1515" s="4">
        <f>[1]Source!AQ1429</f>
        <v>3.36</v>
      </c>
      <c r="F1515" s="33"/>
      <c r="G1515" s="34" t="str">
        <f>[1]Source!DI1429</f>
        <v>)*1*10</v>
      </c>
      <c r="H1515" s="4">
        <f>[1]Source!AV1429</f>
        <v>1</v>
      </c>
      <c r="I1515" s="4"/>
      <c r="J1515" s="33"/>
      <c r="K1515" s="33">
        <f>[1]Source!U1429</f>
        <v>246.3888</v>
      </c>
      <c r="M1515"/>
      <c r="N1515"/>
      <c r="O1515"/>
      <c r="P1515"/>
      <c r="Q1515"/>
    </row>
    <row r="1516" spans="1:33" ht="15" x14ac:dyDescent="0.25">
      <c r="A1516" s="35"/>
      <c r="B1516" s="35"/>
      <c r="C1516" s="35"/>
      <c r="D1516" s="35"/>
      <c r="E1516" s="35"/>
      <c r="F1516" s="35"/>
      <c r="G1516" s="35"/>
      <c r="H1516" s="35"/>
      <c r="I1516" s="36">
        <f>J1512+J1513+J1514</f>
        <v>122992</v>
      </c>
      <c r="J1516" s="36"/>
      <c r="K1516" s="37">
        <f>IF([1]Source!I1429&lt;&gt;0, ROUND(I1516/[1]Source!I1429, 2), 0)</f>
        <v>16772.400000000001</v>
      </c>
      <c r="M1516"/>
      <c r="N1516"/>
      <c r="O1516"/>
      <c r="P1516"/>
      <c r="Q1516"/>
      <c r="AA1516" s="38">
        <f>I1516</f>
        <v>122992</v>
      </c>
    </row>
    <row r="1517" spans="1:33" ht="57" x14ac:dyDescent="0.2">
      <c r="A1517" s="31">
        <v>215</v>
      </c>
      <c r="B1517" s="31" t="str">
        <f>[1]Source!F1430</f>
        <v>5.3-1102-27-1/1</v>
      </c>
      <c r="C1517" s="31" t="str">
        <f>[1]Source!G1430</f>
        <v>Очистка лотков с решетками от наледи, сечение лотка 100 см2, количество креплений решеток 20 шт.( сечение 140 см2)</v>
      </c>
      <c r="D1517" s="32" t="str">
        <f>[1]Source!H1430</f>
        <v>10 м</v>
      </c>
      <c r="E1517" s="4">
        <f>[1]Source!I1430</f>
        <v>12.739000000000001</v>
      </c>
      <c r="F1517" s="33"/>
      <c r="G1517" s="34"/>
      <c r="H1517" s="4"/>
      <c r="I1517" s="4"/>
      <c r="J1517" s="33"/>
      <c r="K1517" s="33"/>
      <c r="M1517"/>
      <c r="N1517"/>
      <c r="O1517"/>
      <c r="P1517"/>
      <c r="Q1517"/>
      <c r="AB1517">
        <f>ROUND(([1]Source!BZ1430/100)*ROUND(([1]Source!AF1430*[1]Source!AV1430)*[1]Source!I1430, 2), 2)</f>
        <v>83091.399999999994</v>
      </c>
      <c r="AC1517">
        <f>[1]Source!X1430</f>
        <v>83091.399999999994</v>
      </c>
      <c r="AD1517">
        <f>ROUND(([1]Source!CA1430/100)*ROUND(([1]Source!AF1430*[1]Source!AV1430)*[1]Source!I1430, 2), 2)</f>
        <v>11870.2</v>
      </c>
      <c r="AE1517">
        <f>[1]Source!Y1430</f>
        <v>11870.2</v>
      </c>
      <c r="AF1517">
        <f>ROUND((175/100)*ROUND(([1]Source!AE1430*[1]Source!AV1430)*[1]Source!I1430, 2), 2)</f>
        <v>0</v>
      </c>
      <c r="AG1517">
        <f>ROUND((108/100)*ROUND([1]Source!CS1430*[1]Source!I1430, 2), 2)</f>
        <v>0</v>
      </c>
    </row>
    <row r="1518" spans="1:33" x14ac:dyDescent="0.2">
      <c r="C1518" s="40" t="str">
        <f>"Объем: "&amp;[1]Source!I1430&amp;"=127,39/"&amp;"10"</f>
        <v>Объем: 12,739=127,39/10</v>
      </c>
      <c r="M1518"/>
      <c r="N1518"/>
      <c r="O1518"/>
      <c r="P1518"/>
      <c r="Q1518"/>
    </row>
    <row r="1519" spans="1:33" ht="14.25" x14ac:dyDescent="0.2">
      <c r="A1519" s="31"/>
      <c r="B1519" s="31"/>
      <c r="C1519" s="31" t="s">
        <v>34</v>
      </c>
      <c r="D1519" s="32"/>
      <c r="E1519" s="4"/>
      <c r="F1519" s="33">
        <f>[1]Source!AO1430</f>
        <v>931.8</v>
      </c>
      <c r="G1519" s="34" t="str">
        <f>[1]Source!DG1430</f>
        <v>)*1*10</v>
      </c>
      <c r="H1519" s="4">
        <f>[1]Source!AV1430</f>
        <v>1</v>
      </c>
      <c r="I1519" s="4">
        <f>IF([1]Source!BA1430&lt;&gt; 0, [1]Source!BA1430, 1)</f>
        <v>1</v>
      </c>
      <c r="J1519" s="33">
        <f>[1]Source!S1430</f>
        <v>118702</v>
      </c>
      <c r="K1519" s="33"/>
      <c r="M1519"/>
      <c r="N1519"/>
      <c r="O1519"/>
      <c r="P1519"/>
      <c r="Q1519"/>
    </row>
    <row r="1520" spans="1:33" ht="14.25" x14ac:dyDescent="0.2">
      <c r="A1520" s="31"/>
      <c r="B1520" s="31"/>
      <c r="C1520" s="31" t="s">
        <v>40</v>
      </c>
      <c r="D1520" s="32" t="s">
        <v>39</v>
      </c>
      <c r="E1520" s="4">
        <f>[1]Source!AT1430</f>
        <v>70</v>
      </c>
      <c r="F1520" s="33"/>
      <c r="G1520" s="34"/>
      <c r="H1520" s="4"/>
      <c r="I1520" s="4"/>
      <c r="J1520" s="33">
        <f>SUM(AC1517:AC1519)</f>
        <v>83091.399999999994</v>
      </c>
      <c r="K1520" s="33"/>
      <c r="M1520"/>
      <c r="N1520"/>
      <c r="O1520"/>
      <c r="P1520"/>
      <c r="Q1520"/>
    </row>
    <row r="1521" spans="1:33" ht="14.25" x14ac:dyDescent="0.2">
      <c r="A1521" s="31"/>
      <c r="B1521" s="31"/>
      <c r="C1521" s="31" t="s">
        <v>41</v>
      </c>
      <c r="D1521" s="32" t="s">
        <v>39</v>
      </c>
      <c r="E1521" s="4">
        <f>[1]Source!AU1430</f>
        <v>10</v>
      </c>
      <c r="F1521" s="33"/>
      <c r="G1521" s="34"/>
      <c r="H1521" s="4"/>
      <c r="I1521" s="4"/>
      <c r="J1521" s="33">
        <f>SUM(AE1517:AE1520)</f>
        <v>11870.2</v>
      </c>
      <c r="K1521" s="33"/>
      <c r="M1521"/>
      <c r="N1521"/>
      <c r="O1521"/>
      <c r="P1521"/>
      <c r="Q1521"/>
    </row>
    <row r="1522" spans="1:33" ht="14.25" x14ac:dyDescent="0.2">
      <c r="A1522" s="31"/>
      <c r="B1522" s="31"/>
      <c r="C1522" s="31" t="s">
        <v>42</v>
      </c>
      <c r="D1522" s="32" t="s">
        <v>43</v>
      </c>
      <c r="E1522" s="4">
        <f>[1]Source!AQ1430</f>
        <v>3.36</v>
      </c>
      <c r="F1522" s="33"/>
      <c r="G1522" s="34" t="str">
        <f>[1]Source!DI1430</f>
        <v>)*1*10</v>
      </c>
      <c r="H1522" s="4">
        <f>[1]Source!AV1430</f>
        <v>1</v>
      </c>
      <c r="I1522" s="4"/>
      <c r="J1522" s="33"/>
      <c r="K1522" s="33">
        <f>[1]Source!U1430</f>
        <v>428.03040000000004</v>
      </c>
      <c r="M1522"/>
      <c r="N1522"/>
      <c r="O1522"/>
      <c r="P1522"/>
      <c r="Q1522"/>
    </row>
    <row r="1523" spans="1:33" ht="15" x14ac:dyDescent="0.25">
      <c r="A1523" s="35"/>
      <c r="B1523" s="35"/>
      <c r="C1523" s="35"/>
      <c r="D1523" s="35"/>
      <c r="E1523" s="35"/>
      <c r="F1523" s="35"/>
      <c r="G1523" s="35"/>
      <c r="H1523" s="35"/>
      <c r="I1523" s="36">
        <f>J1519+J1520+J1521</f>
        <v>213663.6</v>
      </c>
      <c r="J1523" s="36"/>
      <c r="K1523" s="37">
        <f>IF([1]Source!I1430&lt;&gt;0, ROUND(I1523/[1]Source!I1430, 2), 0)</f>
        <v>16772.400000000001</v>
      </c>
      <c r="M1523"/>
      <c r="N1523"/>
      <c r="O1523"/>
      <c r="P1523"/>
      <c r="Q1523"/>
      <c r="AA1523" s="38">
        <f>I1523</f>
        <v>213663.6</v>
      </c>
    </row>
    <row r="1524" spans="1:33" ht="57" x14ac:dyDescent="0.2">
      <c r="A1524" s="31">
        <v>216</v>
      </c>
      <c r="B1524" s="31" t="str">
        <f>[1]Source!F1431</f>
        <v>5.3-1102-27-2/1</v>
      </c>
      <c r="C1524" s="31" t="str">
        <f>[1]Source!G1431</f>
        <v>Очистка лотков с решетками от наледи, добавлять к 3-1102-27-1 на каждые 100 см2 изменения сечения лотка</v>
      </c>
      <c r="D1524" s="32" t="str">
        <f>[1]Source!H1431</f>
        <v>10 м</v>
      </c>
      <c r="E1524" s="4">
        <f>[1]Source!I1431</f>
        <v>12.739000000000001</v>
      </c>
      <c r="F1524" s="33"/>
      <c r="G1524" s="34"/>
      <c r="H1524" s="4"/>
      <c r="I1524" s="4"/>
      <c r="J1524" s="33"/>
      <c r="K1524" s="33"/>
      <c r="M1524"/>
      <c r="N1524"/>
      <c r="O1524"/>
      <c r="P1524"/>
      <c r="Q1524"/>
      <c r="AB1524">
        <f>ROUND(([1]Source!BZ1431/100)*ROUND(([1]Source!AF1431*[1]Source!AV1431)*[1]Source!I1431, 2), 2)</f>
        <v>13057.07</v>
      </c>
      <c r="AC1524">
        <f>[1]Source!X1431</f>
        <v>13057.07</v>
      </c>
      <c r="AD1524">
        <f>ROUND(([1]Source!CA1431/100)*ROUND(([1]Source!AF1431*[1]Source!AV1431)*[1]Source!I1431, 2), 2)</f>
        <v>1865.3</v>
      </c>
      <c r="AE1524">
        <f>[1]Source!Y1431</f>
        <v>1865.3</v>
      </c>
      <c r="AF1524">
        <f>ROUND((175/100)*ROUND(([1]Source!AE1431*[1]Source!AV1431)*[1]Source!I1431, 2), 2)</f>
        <v>0</v>
      </c>
      <c r="AG1524">
        <f>ROUND((108/100)*ROUND([1]Source!CS1431*[1]Source!I1431, 2), 2)</f>
        <v>0</v>
      </c>
    </row>
    <row r="1525" spans="1:33" x14ac:dyDescent="0.2">
      <c r="C1525" s="40" t="str">
        <f>"Объем: "&amp;[1]Source!I1431&amp;"=127,39/"&amp;"10"</f>
        <v>Объем: 12,739=127,39/10</v>
      </c>
      <c r="M1525"/>
      <c r="N1525"/>
      <c r="O1525"/>
      <c r="P1525"/>
      <c r="Q1525"/>
    </row>
    <row r="1526" spans="1:33" ht="14.25" x14ac:dyDescent="0.2">
      <c r="A1526" s="31"/>
      <c r="B1526" s="31"/>
      <c r="C1526" s="31" t="s">
        <v>34</v>
      </c>
      <c r="D1526" s="32"/>
      <c r="E1526" s="4"/>
      <c r="F1526" s="33">
        <f>[1]Source!AO1431</f>
        <v>366.06</v>
      </c>
      <c r="G1526" s="34" t="str">
        <f>[1]Source!DG1431</f>
        <v>)*1*0,4*10</v>
      </c>
      <c r="H1526" s="4">
        <f>[1]Source!AV1431</f>
        <v>1</v>
      </c>
      <c r="I1526" s="4">
        <f>IF([1]Source!BA1431&lt;&gt; 0, [1]Source!BA1431, 1)</f>
        <v>1</v>
      </c>
      <c r="J1526" s="33">
        <f>[1]Source!S1431</f>
        <v>18652.95</v>
      </c>
      <c r="K1526" s="33"/>
      <c r="M1526"/>
      <c r="N1526"/>
      <c r="O1526"/>
      <c r="P1526"/>
      <c r="Q1526"/>
    </row>
    <row r="1527" spans="1:33" ht="14.25" x14ac:dyDescent="0.2">
      <c r="A1527" s="31"/>
      <c r="B1527" s="31"/>
      <c r="C1527" s="31" t="s">
        <v>40</v>
      </c>
      <c r="D1527" s="32" t="s">
        <v>39</v>
      </c>
      <c r="E1527" s="4">
        <f>[1]Source!AT1431</f>
        <v>70</v>
      </c>
      <c r="F1527" s="33"/>
      <c r="G1527" s="34"/>
      <c r="H1527" s="4"/>
      <c r="I1527" s="4"/>
      <c r="J1527" s="33">
        <f>SUM(AC1524:AC1526)</f>
        <v>13057.07</v>
      </c>
      <c r="K1527" s="33"/>
      <c r="M1527"/>
      <c r="N1527"/>
      <c r="O1527"/>
      <c r="P1527"/>
      <c r="Q1527"/>
    </row>
    <row r="1528" spans="1:33" ht="14.25" x14ac:dyDescent="0.2">
      <c r="A1528" s="31"/>
      <c r="B1528" s="31"/>
      <c r="C1528" s="31" t="s">
        <v>41</v>
      </c>
      <c r="D1528" s="32" t="s">
        <v>39</v>
      </c>
      <c r="E1528" s="4">
        <f>[1]Source!AU1431</f>
        <v>10</v>
      </c>
      <c r="F1528" s="33"/>
      <c r="G1528" s="34"/>
      <c r="H1528" s="4"/>
      <c r="I1528" s="4"/>
      <c r="J1528" s="33">
        <f>SUM(AE1524:AE1527)</f>
        <v>1865.3</v>
      </c>
      <c r="K1528" s="33"/>
      <c r="M1528"/>
      <c r="N1528"/>
      <c r="O1528"/>
      <c r="P1528"/>
      <c r="Q1528"/>
    </row>
    <row r="1529" spans="1:33" ht="14.25" x14ac:dyDescent="0.2">
      <c r="A1529" s="31"/>
      <c r="B1529" s="31"/>
      <c r="C1529" s="31" t="s">
        <v>42</v>
      </c>
      <c r="D1529" s="32" t="s">
        <v>43</v>
      </c>
      <c r="E1529" s="4">
        <f>[1]Source!AQ1431</f>
        <v>1.32</v>
      </c>
      <c r="F1529" s="33"/>
      <c r="G1529" s="34" t="str">
        <f>[1]Source!DI1431</f>
        <v>)*1*0,4*10</v>
      </c>
      <c r="H1529" s="4">
        <f>[1]Source!AV1431</f>
        <v>1</v>
      </c>
      <c r="I1529" s="4"/>
      <c r="J1529" s="33"/>
      <c r="K1529" s="33">
        <f>[1]Source!U1431</f>
        <v>67.261920000000003</v>
      </c>
      <c r="M1529"/>
      <c r="N1529"/>
      <c r="O1529"/>
      <c r="P1529"/>
      <c r="Q1529"/>
    </row>
    <row r="1530" spans="1:33" ht="15" x14ac:dyDescent="0.25">
      <c r="A1530" s="35"/>
      <c r="B1530" s="35"/>
      <c r="C1530" s="35"/>
      <c r="D1530" s="35"/>
      <c r="E1530" s="35"/>
      <c r="F1530" s="35"/>
      <c r="G1530" s="35"/>
      <c r="H1530" s="35"/>
      <c r="I1530" s="36">
        <f>J1526+J1527+J1528</f>
        <v>33575.32</v>
      </c>
      <c r="J1530" s="36"/>
      <c r="K1530" s="37">
        <f>IF([1]Source!I1431&lt;&gt;0, ROUND(I1530/[1]Source!I1431, 2), 0)</f>
        <v>2635.63</v>
      </c>
      <c r="M1530"/>
      <c r="N1530"/>
      <c r="O1530"/>
      <c r="P1530"/>
      <c r="Q1530"/>
      <c r="AA1530" s="38">
        <f>I1530</f>
        <v>33575.32</v>
      </c>
    </row>
    <row r="1531" spans="1:33" ht="57" x14ac:dyDescent="0.2">
      <c r="A1531" s="31">
        <v>217</v>
      </c>
      <c r="B1531" s="31" t="str">
        <f>[1]Source!F1432</f>
        <v>5.3-1102-27-1/1</v>
      </c>
      <c r="C1531" s="31" t="str">
        <f>[1]Source!G1432</f>
        <v>Очистка лотков с решетками от наледи, сечение лотка 100 см2, количество креплений решеток 20 шт.( сечение 175 см2)</v>
      </c>
      <c r="D1531" s="32" t="str">
        <f>[1]Source!H1432</f>
        <v>10 м</v>
      </c>
      <c r="E1531" s="4">
        <f>[1]Source!I1432</f>
        <v>11.05</v>
      </c>
      <c r="F1531" s="33"/>
      <c r="G1531" s="34"/>
      <c r="H1531" s="4"/>
      <c r="I1531" s="4"/>
      <c r="J1531" s="33"/>
      <c r="K1531" s="33"/>
      <c r="M1531"/>
      <c r="N1531"/>
      <c r="O1531"/>
      <c r="P1531"/>
      <c r="Q1531"/>
      <c r="AB1531">
        <f>ROUND(([1]Source!BZ1432/100)*ROUND(([1]Source!AF1432*[1]Source!AV1432)*[1]Source!I1432, 2), 2)</f>
        <v>72074.73</v>
      </c>
      <c r="AC1531">
        <f>[1]Source!X1432</f>
        <v>72074.73</v>
      </c>
      <c r="AD1531">
        <f>ROUND(([1]Source!CA1432/100)*ROUND(([1]Source!AF1432*[1]Source!AV1432)*[1]Source!I1432, 2), 2)</f>
        <v>10296.39</v>
      </c>
      <c r="AE1531">
        <f>[1]Source!Y1432</f>
        <v>10296.39</v>
      </c>
      <c r="AF1531">
        <f>ROUND((175/100)*ROUND(([1]Source!AE1432*[1]Source!AV1432)*[1]Source!I1432, 2), 2)</f>
        <v>0</v>
      </c>
      <c r="AG1531">
        <f>ROUND((108/100)*ROUND([1]Source!CS1432*[1]Source!I1432, 2), 2)</f>
        <v>0</v>
      </c>
    </row>
    <row r="1532" spans="1:33" x14ac:dyDescent="0.2">
      <c r="C1532" s="40" t="str">
        <f>"Объем: "&amp;[1]Source!I1432&amp;"=110,5/"&amp;"10"</f>
        <v>Объем: 11,05=110,5/10</v>
      </c>
      <c r="M1532"/>
      <c r="N1532"/>
      <c r="O1532"/>
      <c r="P1532"/>
      <c r="Q1532"/>
    </row>
    <row r="1533" spans="1:33" ht="14.25" x14ac:dyDescent="0.2">
      <c r="A1533" s="31"/>
      <c r="B1533" s="31"/>
      <c r="C1533" s="31" t="s">
        <v>34</v>
      </c>
      <c r="D1533" s="32"/>
      <c r="E1533" s="4"/>
      <c r="F1533" s="33">
        <f>[1]Source!AO1432</f>
        <v>931.8</v>
      </c>
      <c r="G1533" s="34" t="str">
        <f>[1]Source!DG1432</f>
        <v>)*1*10</v>
      </c>
      <c r="H1533" s="4">
        <f>[1]Source!AV1432</f>
        <v>1</v>
      </c>
      <c r="I1533" s="4">
        <f>IF([1]Source!BA1432&lt;&gt; 0, [1]Source!BA1432, 1)</f>
        <v>1</v>
      </c>
      <c r="J1533" s="33">
        <f>[1]Source!S1432</f>
        <v>102963.9</v>
      </c>
      <c r="K1533" s="33"/>
      <c r="M1533"/>
      <c r="N1533"/>
      <c r="O1533"/>
      <c r="P1533"/>
      <c r="Q1533"/>
    </row>
    <row r="1534" spans="1:33" ht="14.25" x14ac:dyDescent="0.2">
      <c r="A1534" s="31"/>
      <c r="B1534" s="31"/>
      <c r="C1534" s="31" t="s">
        <v>40</v>
      </c>
      <c r="D1534" s="32" t="s">
        <v>39</v>
      </c>
      <c r="E1534" s="4">
        <f>[1]Source!AT1432</f>
        <v>70</v>
      </c>
      <c r="F1534" s="33"/>
      <c r="G1534" s="34"/>
      <c r="H1534" s="4"/>
      <c r="I1534" s="4"/>
      <c r="J1534" s="33">
        <f>SUM(AC1531:AC1533)</f>
        <v>72074.73</v>
      </c>
      <c r="K1534" s="33"/>
      <c r="M1534"/>
      <c r="N1534"/>
      <c r="O1534"/>
      <c r="P1534"/>
      <c r="Q1534"/>
    </row>
    <row r="1535" spans="1:33" ht="14.25" x14ac:dyDescent="0.2">
      <c r="A1535" s="31"/>
      <c r="B1535" s="31"/>
      <c r="C1535" s="31" t="s">
        <v>41</v>
      </c>
      <c r="D1535" s="32" t="s">
        <v>39</v>
      </c>
      <c r="E1535" s="4">
        <f>[1]Source!AU1432</f>
        <v>10</v>
      </c>
      <c r="F1535" s="33"/>
      <c r="G1535" s="34"/>
      <c r="H1535" s="4"/>
      <c r="I1535" s="4"/>
      <c r="J1535" s="33">
        <f>SUM(AE1531:AE1534)</f>
        <v>10296.39</v>
      </c>
      <c r="K1535" s="33"/>
      <c r="M1535"/>
      <c r="N1535"/>
      <c r="O1535"/>
      <c r="P1535"/>
      <c r="Q1535"/>
    </row>
    <row r="1536" spans="1:33" ht="14.25" x14ac:dyDescent="0.2">
      <c r="A1536" s="31"/>
      <c r="B1536" s="31"/>
      <c r="C1536" s="31" t="s">
        <v>42</v>
      </c>
      <c r="D1536" s="32" t="s">
        <v>43</v>
      </c>
      <c r="E1536" s="4">
        <f>[1]Source!AQ1432</f>
        <v>3.36</v>
      </c>
      <c r="F1536" s="33"/>
      <c r="G1536" s="34" t="str">
        <f>[1]Source!DI1432</f>
        <v>)*1*10</v>
      </c>
      <c r="H1536" s="4">
        <f>[1]Source!AV1432</f>
        <v>1</v>
      </c>
      <c r="I1536" s="4"/>
      <c r="J1536" s="33"/>
      <c r="K1536" s="33">
        <f>[1]Source!U1432</f>
        <v>371.28000000000003</v>
      </c>
      <c r="M1536"/>
      <c r="N1536"/>
      <c r="O1536"/>
      <c r="P1536"/>
      <c r="Q1536"/>
    </row>
    <row r="1537" spans="1:33" ht="15" x14ac:dyDescent="0.25">
      <c r="A1537" s="35"/>
      <c r="B1537" s="35"/>
      <c r="C1537" s="35"/>
      <c r="D1537" s="35"/>
      <c r="E1537" s="35"/>
      <c r="F1537" s="35"/>
      <c r="G1537" s="35"/>
      <c r="H1537" s="35"/>
      <c r="I1537" s="36">
        <f>J1533+J1534+J1535</f>
        <v>185335.02000000002</v>
      </c>
      <c r="J1537" s="36"/>
      <c r="K1537" s="37">
        <f>IF([1]Source!I1432&lt;&gt;0, ROUND(I1537/[1]Source!I1432, 2), 0)</f>
        <v>16772.400000000001</v>
      </c>
      <c r="M1537"/>
      <c r="N1537"/>
      <c r="O1537"/>
      <c r="P1537"/>
      <c r="Q1537"/>
      <c r="AA1537" s="38">
        <f>I1537</f>
        <v>185335.02000000002</v>
      </c>
    </row>
    <row r="1538" spans="1:33" ht="57" x14ac:dyDescent="0.2">
      <c r="A1538" s="31">
        <v>218</v>
      </c>
      <c r="B1538" s="31" t="str">
        <f>[1]Source!F1433</f>
        <v>5.3-1102-27-2/1</v>
      </c>
      <c r="C1538" s="31" t="str">
        <f>[1]Source!G1433</f>
        <v>Очистка лотков с решетками от наледи, добавлять к 3-1102-27-1 на каждые 100 см2 изменения сечения лотка</v>
      </c>
      <c r="D1538" s="32" t="str">
        <f>[1]Source!H1433</f>
        <v>10 м</v>
      </c>
      <c r="E1538" s="4">
        <f>[1]Source!I1433</f>
        <v>11.05</v>
      </c>
      <c r="F1538" s="33"/>
      <c r="G1538" s="34"/>
      <c r="H1538" s="4"/>
      <c r="I1538" s="4"/>
      <c r="J1538" s="33"/>
      <c r="K1538" s="33"/>
      <c r="M1538"/>
      <c r="N1538"/>
      <c r="O1538"/>
      <c r="P1538"/>
      <c r="Q1538"/>
      <c r="AB1538">
        <f>ROUND(([1]Source!BZ1433/100)*ROUND(([1]Source!AF1433*[1]Source!AV1433)*[1]Source!I1433, 2), 2)</f>
        <v>21236.05</v>
      </c>
      <c r="AC1538">
        <f>[1]Source!X1433</f>
        <v>21236.05</v>
      </c>
      <c r="AD1538">
        <f>ROUND(([1]Source!CA1433/100)*ROUND(([1]Source!AF1433*[1]Source!AV1433)*[1]Source!I1433, 2), 2)</f>
        <v>3033.72</v>
      </c>
      <c r="AE1538">
        <f>[1]Source!Y1433</f>
        <v>3033.72</v>
      </c>
      <c r="AF1538">
        <f>ROUND((175/100)*ROUND(([1]Source!AE1433*[1]Source!AV1433)*[1]Source!I1433, 2), 2)</f>
        <v>0</v>
      </c>
      <c r="AG1538">
        <f>ROUND((108/100)*ROUND([1]Source!CS1433*[1]Source!I1433, 2), 2)</f>
        <v>0</v>
      </c>
    </row>
    <row r="1539" spans="1:33" x14ac:dyDescent="0.2">
      <c r="C1539" s="40" t="str">
        <f>"Объем: "&amp;[1]Source!I1433&amp;"=110,5/"&amp;"10"</f>
        <v>Объем: 11,05=110,5/10</v>
      </c>
      <c r="M1539"/>
      <c r="N1539"/>
      <c r="O1539"/>
      <c r="P1539"/>
      <c r="Q1539"/>
    </row>
    <row r="1540" spans="1:33" ht="14.25" x14ac:dyDescent="0.2">
      <c r="A1540" s="31"/>
      <c r="B1540" s="31"/>
      <c r="C1540" s="31" t="s">
        <v>34</v>
      </c>
      <c r="D1540" s="32"/>
      <c r="E1540" s="4"/>
      <c r="F1540" s="33">
        <f>[1]Source!AO1433</f>
        <v>366.06</v>
      </c>
      <c r="G1540" s="34" t="str">
        <f>[1]Source!DG1433</f>
        <v>)*1*0,75*10</v>
      </c>
      <c r="H1540" s="4">
        <f>[1]Source!AV1433</f>
        <v>1</v>
      </c>
      <c r="I1540" s="4">
        <f>IF([1]Source!BA1433&lt;&gt; 0, [1]Source!BA1433, 1)</f>
        <v>1</v>
      </c>
      <c r="J1540" s="33">
        <f>[1]Source!S1433</f>
        <v>30337.22</v>
      </c>
      <c r="K1540" s="33"/>
      <c r="M1540"/>
      <c r="N1540"/>
      <c r="O1540"/>
      <c r="P1540"/>
      <c r="Q1540"/>
    </row>
    <row r="1541" spans="1:33" ht="14.25" x14ac:dyDescent="0.2">
      <c r="A1541" s="31"/>
      <c r="B1541" s="31"/>
      <c r="C1541" s="31" t="s">
        <v>40</v>
      </c>
      <c r="D1541" s="32" t="s">
        <v>39</v>
      </c>
      <c r="E1541" s="4">
        <f>[1]Source!AT1433</f>
        <v>70</v>
      </c>
      <c r="F1541" s="33"/>
      <c r="G1541" s="34"/>
      <c r="H1541" s="4"/>
      <c r="I1541" s="4"/>
      <c r="J1541" s="33">
        <f>SUM(AC1538:AC1540)</f>
        <v>21236.05</v>
      </c>
      <c r="K1541" s="33"/>
      <c r="M1541"/>
      <c r="N1541"/>
      <c r="O1541"/>
      <c r="P1541"/>
      <c r="Q1541"/>
    </row>
    <row r="1542" spans="1:33" ht="14.25" x14ac:dyDescent="0.2">
      <c r="A1542" s="31"/>
      <c r="B1542" s="31"/>
      <c r="C1542" s="31" t="s">
        <v>41</v>
      </c>
      <c r="D1542" s="32" t="s">
        <v>39</v>
      </c>
      <c r="E1542" s="4">
        <f>[1]Source!AU1433</f>
        <v>10</v>
      </c>
      <c r="F1542" s="33"/>
      <c r="G1542" s="34"/>
      <c r="H1542" s="4"/>
      <c r="I1542" s="4"/>
      <c r="J1542" s="33">
        <f>SUM(AE1538:AE1541)</f>
        <v>3033.72</v>
      </c>
      <c r="K1542" s="33"/>
      <c r="M1542"/>
      <c r="N1542"/>
      <c r="O1542"/>
      <c r="P1542"/>
      <c r="Q1542"/>
    </row>
    <row r="1543" spans="1:33" ht="14.25" x14ac:dyDescent="0.2">
      <c r="A1543" s="31"/>
      <c r="B1543" s="31"/>
      <c r="C1543" s="31" t="s">
        <v>42</v>
      </c>
      <c r="D1543" s="32" t="s">
        <v>43</v>
      </c>
      <c r="E1543" s="4">
        <f>[1]Source!AQ1433</f>
        <v>1.32</v>
      </c>
      <c r="F1543" s="33"/>
      <c r="G1543" s="34" t="str">
        <f>[1]Source!DI1433</f>
        <v>)*1*0,75*10</v>
      </c>
      <c r="H1543" s="4">
        <f>[1]Source!AV1433</f>
        <v>1</v>
      </c>
      <c r="I1543" s="4"/>
      <c r="J1543" s="33"/>
      <c r="K1543" s="33">
        <f>[1]Source!U1433</f>
        <v>109.39500000000001</v>
      </c>
      <c r="M1543"/>
      <c r="N1543"/>
      <c r="O1543"/>
      <c r="P1543"/>
      <c r="Q1543"/>
    </row>
    <row r="1544" spans="1:33" ht="15" x14ac:dyDescent="0.25">
      <c r="A1544" s="35"/>
      <c r="B1544" s="35"/>
      <c r="C1544" s="35"/>
      <c r="D1544" s="35"/>
      <c r="E1544" s="35"/>
      <c r="F1544" s="35"/>
      <c r="G1544" s="35"/>
      <c r="H1544" s="35"/>
      <c r="I1544" s="36">
        <f>J1540+J1541+J1542</f>
        <v>54606.990000000005</v>
      </c>
      <c r="J1544" s="36"/>
      <c r="K1544" s="37">
        <f>IF([1]Source!I1433&lt;&gt;0, ROUND(I1544/[1]Source!I1433, 2), 0)</f>
        <v>4941.8100000000004</v>
      </c>
      <c r="M1544"/>
      <c r="N1544"/>
      <c r="O1544"/>
      <c r="P1544"/>
      <c r="Q1544"/>
      <c r="AA1544" s="38">
        <f>I1544</f>
        <v>54606.990000000005</v>
      </c>
    </row>
    <row r="1545" spans="1:33" ht="57" x14ac:dyDescent="0.2">
      <c r="A1545" s="31">
        <v>219</v>
      </c>
      <c r="B1545" s="31" t="str">
        <f>[1]Source!F1434</f>
        <v>5.3-1102-27-1/1</v>
      </c>
      <c r="C1545" s="31" t="str">
        <f>[1]Source!G1434</f>
        <v>Очистка лотков с решетками от наледи, сечение лотка 100 см2, количество креплений решеток 20 шт.(  сечение 187,5 см2)</v>
      </c>
      <c r="D1545" s="32" t="str">
        <f>[1]Source!H1434</f>
        <v>10 м</v>
      </c>
      <c r="E1545" s="4">
        <f>[1]Source!I1434</f>
        <v>7.69</v>
      </c>
      <c r="F1545" s="33"/>
      <c r="G1545" s="34"/>
      <c r="H1545" s="4"/>
      <c r="I1545" s="4"/>
      <c r="J1545" s="33"/>
      <c r="K1545" s="33"/>
      <c r="M1545"/>
      <c r="N1545"/>
      <c r="O1545"/>
      <c r="P1545"/>
      <c r="Q1545"/>
      <c r="AB1545">
        <f>ROUND(([1]Source!BZ1434/100)*ROUND(([1]Source!AF1434*[1]Source!AV1434)*[1]Source!I1434, 2), 2)</f>
        <v>50158.79</v>
      </c>
      <c r="AC1545">
        <f>[1]Source!X1434</f>
        <v>50158.79</v>
      </c>
      <c r="AD1545">
        <f>ROUND(([1]Source!CA1434/100)*ROUND(([1]Source!AF1434*[1]Source!AV1434)*[1]Source!I1434, 2), 2)</f>
        <v>7165.54</v>
      </c>
      <c r="AE1545">
        <f>[1]Source!Y1434</f>
        <v>7165.54</v>
      </c>
      <c r="AF1545">
        <f>ROUND((175/100)*ROUND(([1]Source!AE1434*[1]Source!AV1434)*[1]Source!I1434, 2), 2)</f>
        <v>0</v>
      </c>
      <c r="AG1545">
        <f>ROUND((108/100)*ROUND([1]Source!CS1434*[1]Source!I1434, 2), 2)</f>
        <v>0</v>
      </c>
    </row>
    <row r="1546" spans="1:33" x14ac:dyDescent="0.2">
      <c r="C1546" s="40" t="str">
        <f>"Объем: "&amp;[1]Source!I1434&amp;"=76,9/"&amp;"10"</f>
        <v>Объем: 7,69=76,9/10</v>
      </c>
      <c r="M1546"/>
      <c r="N1546"/>
      <c r="O1546"/>
      <c r="P1546"/>
      <c r="Q1546"/>
    </row>
    <row r="1547" spans="1:33" ht="14.25" x14ac:dyDescent="0.2">
      <c r="A1547" s="31"/>
      <c r="B1547" s="31"/>
      <c r="C1547" s="31" t="s">
        <v>34</v>
      </c>
      <c r="D1547" s="32"/>
      <c r="E1547" s="4"/>
      <c r="F1547" s="33">
        <f>[1]Source!AO1434</f>
        <v>931.8</v>
      </c>
      <c r="G1547" s="34" t="str">
        <f>[1]Source!DG1434</f>
        <v>)*1*10</v>
      </c>
      <c r="H1547" s="4">
        <f>[1]Source!AV1434</f>
        <v>1</v>
      </c>
      <c r="I1547" s="4">
        <f>IF([1]Source!BA1434&lt;&gt; 0, [1]Source!BA1434, 1)</f>
        <v>1</v>
      </c>
      <c r="J1547" s="33">
        <f>[1]Source!S1434</f>
        <v>71655.42</v>
      </c>
      <c r="K1547" s="33"/>
      <c r="M1547"/>
      <c r="N1547"/>
      <c r="O1547"/>
      <c r="P1547"/>
      <c r="Q1547"/>
    </row>
    <row r="1548" spans="1:33" ht="14.25" x14ac:dyDescent="0.2">
      <c r="A1548" s="31"/>
      <c r="B1548" s="31"/>
      <c r="C1548" s="31" t="s">
        <v>40</v>
      </c>
      <c r="D1548" s="32" t="s">
        <v>39</v>
      </c>
      <c r="E1548" s="4">
        <f>[1]Source!AT1434</f>
        <v>70</v>
      </c>
      <c r="F1548" s="33"/>
      <c r="G1548" s="34"/>
      <c r="H1548" s="4"/>
      <c r="I1548" s="4"/>
      <c r="J1548" s="33">
        <f>SUM(AC1545:AC1547)</f>
        <v>50158.79</v>
      </c>
      <c r="K1548" s="33"/>
      <c r="M1548"/>
      <c r="N1548"/>
      <c r="O1548"/>
      <c r="P1548"/>
      <c r="Q1548"/>
    </row>
    <row r="1549" spans="1:33" ht="14.25" x14ac:dyDescent="0.2">
      <c r="A1549" s="31"/>
      <c r="B1549" s="31"/>
      <c r="C1549" s="31" t="s">
        <v>41</v>
      </c>
      <c r="D1549" s="32" t="s">
        <v>39</v>
      </c>
      <c r="E1549" s="4">
        <f>[1]Source!AU1434</f>
        <v>10</v>
      </c>
      <c r="F1549" s="33"/>
      <c r="G1549" s="34"/>
      <c r="H1549" s="4"/>
      <c r="I1549" s="4"/>
      <c r="J1549" s="33">
        <f>SUM(AE1545:AE1548)</f>
        <v>7165.54</v>
      </c>
      <c r="K1549" s="33"/>
      <c r="M1549"/>
      <c r="N1549"/>
      <c r="O1549"/>
      <c r="P1549"/>
      <c r="Q1549"/>
    </row>
    <row r="1550" spans="1:33" ht="14.25" x14ac:dyDescent="0.2">
      <c r="A1550" s="31"/>
      <c r="B1550" s="31"/>
      <c r="C1550" s="31" t="s">
        <v>42</v>
      </c>
      <c r="D1550" s="32" t="s">
        <v>43</v>
      </c>
      <c r="E1550" s="4">
        <f>[1]Source!AQ1434</f>
        <v>3.36</v>
      </c>
      <c r="F1550" s="33"/>
      <c r="G1550" s="34" t="str">
        <f>[1]Source!DI1434</f>
        <v>)*1*10</v>
      </c>
      <c r="H1550" s="4">
        <f>[1]Source!AV1434</f>
        <v>1</v>
      </c>
      <c r="I1550" s="4"/>
      <c r="J1550" s="33"/>
      <c r="K1550" s="33">
        <f>[1]Source!U1434</f>
        <v>258.38400000000001</v>
      </c>
      <c r="M1550"/>
      <c r="N1550"/>
      <c r="O1550"/>
      <c r="P1550"/>
      <c r="Q1550"/>
    </row>
    <row r="1551" spans="1:33" ht="15" x14ac:dyDescent="0.25">
      <c r="A1551" s="35"/>
      <c r="B1551" s="35"/>
      <c r="C1551" s="35"/>
      <c r="D1551" s="35"/>
      <c r="E1551" s="35"/>
      <c r="F1551" s="35"/>
      <c r="G1551" s="35"/>
      <c r="H1551" s="35"/>
      <c r="I1551" s="36">
        <f>J1547+J1548+J1549</f>
        <v>128979.74999999999</v>
      </c>
      <c r="J1551" s="36"/>
      <c r="K1551" s="37">
        <f>IF([1]Source!I1434&lt;&gt;0, ROUND(I1551/[1]Source!I1434, 2), 0)</f>
        <v>16772.400000000001</v>
      </c>
      <c r="M1551"/>
      <c r="N1551"/>
      <c r="O1551"/>
      <c r="P1551"/>
      <c r="Q1551"/>
      <c r="AA1551" s="38">
        <f>I1551</f>
        <v>128979.74999999999</v>
      </c>
    </row>
    <row r="1552" spans="1:33" ht="57" x14ac:dyDescent="0.2">
      <c r="A1552" s="31">
        <v>220</v>
      </c>
      <c r="B1552" s="31" t="str">
        <f>[1]Source!F1435</f>
        <v>5.3-1102-27-2/1</v>
      </c>
      <c r="C1552" s="31" t="str">
        <f>[1]Source!G1435</f>
        <v>Очистка лотков с решетками от наледи, добавлять к 3-1102-27-1 на каждые 100 см2 изменения сечения лотка</v>
      </c>
      <c r="D1552" s="32" t="str">
        <f>[1]Source!H1435</f>
        <v>10 м</v>
      </c>
      <c r="E1552" s="4">
        <f>[1]Source!I1435</f>
        <v>7.69</v>
      </c>
      <c r="F1552" s="33"/>
      <c r="G1552" s="34"/>
      <c r="H1552" s="4"/>
      <c r="I1552" s="4"/>
      <c r="J1552" s="33"/>
      <c r="K1552" s="33"/>
      <c r="M1552"/>
      <c r="N1552"/>
      <c r="O1552"/>
      <c r="P1552"/>
      <c r="Q1552"/>
      <c r="AB1552">
        <f>ROUND(([1]Source!BZ1435/100)*ROUND(([1]Source!AF1435*[1]Source!AV1435)*[1]Source!I1435, 2), 2)</f>
        <v>17241.88</v>
      </c>
      <c r="AC1552">
        <f>[1]Source!X1435</f>
        <v>17241.88</v>
      </c>
      <c r="AD1552">
        <f>ROUND(([1]Source!CA1435/100)*ROUND(([1]Source!AF1435*[1]Source!AV1435)*[1]Source!I1435, 2), 2)</f>
        <v>2463.13</v>
      </c>
      <c r="AE1552">
        <f>[1]Source!Y1435</f>
        <v>2463.13</v>
      </c>
      <c r="AF1552">
        <f>ROUND((175/100)*ROUND(([1]Source!AE1435*[1]Source!AV1435)*[1]Source!I1435, 2), 2)</f>
        <v>0</v>
      </c>
      <c r="AG1552">
        <f>ROUND((108/100)*ROUND([1]Source!CS1435*[1]Source!I1435, 2), 2)</f>
        <v>0</v>
      </c>
    </row>
    <row r="1553" spans="1:33" x14ac:dyDescent="0.2">
      <c r="C1553" s="40" t="str">
        <f>"Объем: "&amp;[1]Source!I1435&amp;"=76,9/"&amp;"10"</f>
        <v>Объем: 7,69=76,9/10</v>
      </c>
      <c r="M1553"/>
      <c r="N1553"/>
      <c r="O1553"/>
      <c r="P1553"/>
      <c r="Q1553"/>
    </row>
    <row r="1554" spans="1:33" ht="28.5" x14ac:dyDescent="0.2">
      <c r="A1554" s="31"/>
      <c r="B1554" s="31"/>
      <c r="C1554" s="31" t="s">
        <v>34</v>
      </c>
      <c r="D1554" s="32"/>
      <c r="E1554" s="4"/>
      <c r="F1554" s="33">
        <f>[1]Source!AO1435</f>
        <v>366.06</v>
      </c>
      <c r="G1554" s="34" t="str">
        <f>[1]Source!DG1435</f>
        <v>)*1*0,875*10</v>
      </c>
      <c r="H1554" s="4">
        <f>[1]Source!AV1435</f>
        <v>1</v>
      </c>
      <c r="I1554" s="4">
        <f>IF([1]Source!BA1435&lt;&gt; 0, [1]Source!BA1435, 1)</f>
        <v>1</v>
      </c>
      <c r="J1554" s="33">
        <f>[1]Source!S1435</f>
        <v>24631.26</v>
      </c>
      <c r="K1554" s="33"/>
      <c r="M1554"/>
      <c r="N1554"/>
      <c r="O1554"/>
      <c r="P1554"/>
      <c r="Q1554"/>
    </row>
    <row r="1555" spans="1:33" ht="14.25" x14ac:dyDescent="0.2">
      <c r="A1555" s="31"/>
      <c r="B1555" s="31"/>
      <c r="C1555" s="31" t="s">
        <v>40</v>
      </c>
      <c r="D1555" s="32" t="s">
        <v>39</v>
      </c>
      <c r="E1555" s="4">
        <f>[1]Source!AT1435</f>
        <v>70</v>
      </c>
      <c r="F1555" s="33"/>
      <c r="G1555" s="34"/>
      <c r="H1555" s="4"/>
      <c r="I1555" s="4"/>
      <c r="J1555" s="33">
        <f>SUM(AC1552:AC1554)</f>
        <v>17241.88</v>
      </c>
      <c r="K1555" s="33"/>
      <c r="M1555"/>
      <c r="N1555"/>
      <c r="O1555"/>
      <c r="P1555"/>
      <c r="Q1555"/>
    </row>
    <row r="1556" spans="1:33" ht="14.25" x14ac:dyDescent="0.2">
      <c r="A1556" s="31"/>
      <c r="B1556" s="31"/>
      <c r="C1556" s="31" t="s">
        <v>41</v>
      </c>
      <c r="D1556" s="32" t="s">
        <v>39</v>
      </c>
      <c r="E1556" s="4">
        <f>[1]Source!AU1435</f>
        <v>10</v>
      </c>
      <c r="F1556" s="33"/>
      <c r="G1556" s="34"/>
      <c r="H1556" s="4"/>
      <c r="I1556" s="4"/>
      <c r="J1556" s="33">
        <f>SUM(AE1552:AE1555)</f>
        <v>2463.13</v>
      </c>
      <c r="K1556" s="33"/>
      <c r="M1556"/>
      <c r="N1556"/>
      <c r="O1556"/>
      <c r="P1556"/>
      <c r="Q1556"/>
    </row>
    <row r="1557" spans="1:33" ht="28.5" x14ac:dyDescent="0.2">
      <c r="A1557" s="31"/>
      <c r="B1557" s="31"/>
      <c r="C1557" s="31" t="s">
        <v>42</v>
      </c>
      <c r="D1557" s="32" t="s">
        <v>43</v>
      </c>
      <c r="E1557" s="4">
        <f>[1]Source!AQ1435</f>
        <v>1.32</v>
      </c>
      <c r="F1557" s="33"/>
      <c r="G1557" s="34" t="str">
        <f>[1]Source!DI1435</f>
        <v>)*1*0,875*10</v>
      </c>
      <c r="H1557" s="4">
        <f>[1]Source!AV1435</f>
        <v>1</v>
      </c>
      <c r="I1557" s="4"/>
      <c r="J1557" s="33"/>
      <c r="K1557" s="33">
        <f>[1]Source!U1435</f>
        <v>88.819500000000005</v>
      </c>
      <c r="M1557"/>
      <c r="N1557"/>
      <c r="O1557"/>
      <c r="P1557"/>
      <c r="Q1557"/>
    </row>
    <row r="1558" spans="1:33" ht="15" x14ac:dyDescent="0.25">
      <c r="A1558" s="35"/>
      <c r="B1558" s="35"/>
      <c r="C1558" s="35"/>
      <c r="D1558" s="35"/>
      <c r="E1558" s="35"/>
      <c r="F1558" s="35"/>
      <c r="G1558" s="35"/>
      <c r="H1558" s="35"/>
      <c r="I1558" s="36">
        <f>J1554+J1555+J1556</f>
        <v>44336.27</v>
      </c>
      <c r="J1558" s="36"/>
      <c r="K1558" s="37">
        <f>IF([1]Source!I1435&lt;&gt;0, ROUND(I1558/[1]Source!I1435, 2), 0)</f>
        <v>5765.44</v>
      </c>
      <c r="M1558"/>
      <c r="N1558"/>
      <c r="O1558"/>
      <c r="P1558"/>
      <c r="Q1558"/>
      <c r="AA1558" s="38">
        <f>I1558</f>
        <v>44336.27</v>
      </c>
    </row>
    <row r="1559" spans="1:33" ht="57" x14ac:dyDescent="0.2">
      <c r="A1559" s="31">
        <v>221</v>
      </c>
      <c r="B1559" s="31" t="str">
        <f>[1]Source!F1436</f>
        <v>5.3-1102-27-1/1</v>
      </c>
      <c r="C1559" s="31" t="str">
        <f>[1]Source!G1436</f>
        <v>Очистка лотков с решетками от наледи, сечение лотка 100 см2, количество креплений решеток 20 шт.( сечение 224 см2)</v>
      </c>
      <c r="D1559" s="32" t="str">
        <f>[1]Source!H1436</f>
        <v>10 м</v>
      </c>
      <c r="E1559" s="4">
        <f>[1]Source!I1436</f>
        <v>1.514</v>
      </c>
      <c r="F1559" s="33"/>
      <c r="G1559" s="34"/>
      <c r="H1559" s="4"/>
      <c r="I1559" s="4"/>
      <c r="J1559" s="33"/>
      <c r="K1559" s="33"/>
      <c r="M1559"/>
      <c r="N1559"/>
      <c r="O1559"/>
      <c r="P1559"/>
      <c r="Q1559"/>
      <c r="AB1559">
        <f>ROUND(([1]Source!BZ1436/100)*ROUND(([1]Source!AF1436*[1]Source!AV1436)*[1]Source!I1436, 2), 2)</f>
        <v>9875.2199999999993</v>
      </c>
      <c r="AC1559">
        <f>[1]Source!X1436</f>
        <v>9875.2199999999993</v>
      </c>
      <c r="AD1559">
        <f>ROUND(([1]Source!CA1436/100)*ROUND(([1]Source!AF1436*[1]Source!AV1436)*[1]Source!I1436, 2), 2)</f>
        <v>1410.75</v>
      </c>
      <c r="AE1559">
        <f>[1]Source!Y1436</f>
        <v>1410.75</v>
      </c>
      <c r="AF1559">
        <f>ROUND((175/100)*ROUND(([1]Source!AE1436*[1]Source!AV1436)*[1]Source!I1436, 2), 2)</f>
        <v>0</v>
      </c>
      <c r="AG1559">
        <f>ROUND((108/100)*ROUND([1]Source!CS1436*[1]Source!I1436, 2), 2)</f>
        <v>0</v>
      </c>
    </row>
    <row r="1560" spans="1:33" x14ac:dyDescent="0.2">
      <c r="C1560" s="40" t="str">
        <f>"Объем: "&amp;[1]Source!I1436&amp;"=15,14/"&amp;"10"</f>
        <v>Объем: 1,514=15,14/10</v>
      </c>
      <c r="M1560"/>
      <c r="N1560"/>
      <c r="O1560"/>
      <c r="P1560"/>
      <c r="Q1560"/>
    </row>
    <row r="1561" spans="1:33" ht="14.25" x14ac:dyDescent="0.2">
      <c r="A1561" s="31"/>
      <c r="B1561" s="31"/>
      <c r="C1561" s="31" t="s">
        <v>34</v>
      </c>
      <c r="D1561" s="32"/>
      <c r="E1561" s="4"/>
      <c r="F1561" s="33">
        <f>[1]Source!AO1436</f>
        <v>931.8</v>
      </c>
      <c r="G1561" s="34" t="str">
        <f>[1]Source!DG1436</f>
        <v>)*1*10</v>
      </c>
      <c r="H1561" s="4">
        <f>[1]Source!AV1436</f>
        <v>1</v>
      </c>
      <c r="I1561" s="4">
        <f>IF([1]Source!BA1436&lt;&gt; 0, [1]Source!BA1436, 1)</f>
        <v>1</v>
      </c>
      <c r="J1561" s="33">
        <f>[1]Source!S1436</f>
        <v>14107.45</v>
      </c>
      <c r="K1561" s="33"/>
      <c r="M1561"/>
      <c r="N1561"/>
      <c r="O1561"/>
      <c r="P1561"/>
      <c r="Q1561"/>
    </row>
    <row r="1562" spans="1:33" ht="14.25" x14ac:dyDescent="0.2">
      <c r="A1562" s="31"/>
      <c r="B1562" s="31"/>
      <c r="C1562" s="31" t="s">
        <v>40</v>
      </c>
      <c r="D1562" s="32" t="s">
        <v>39</v>
      </c>
      <c r="E1562" s="4">
        <f>[1]Source!AT1436</f>
        <v>70</v>
      </c>
      <c r="F1562" s="33"/>
      <c r="G1562" s="34"/>
      <c r="H1562" s="4"/>
      <c r="I1562" s="4"/>
      <c r="J1562" s="33">
        <f>SUM(AC1559:AC1561)</f>
        <v>9875.2199999999993</v>
      </c>
      <c r="K1562" s="33"/>
      <c r="M1562"/>
      <c r="N1562"/>
      <c r="O1562"/>
      <c r="P1562"/>
      <c r="Q1562"/>
    </row>
    <row r="1563" spans="1:33" ht="14.25" x14ac:dyDescent="0.2">
      <c r="A1563" s="31"/>
      <c r="B1563" s="31"/>
      <c r="C1563" s="31" t="s">
        <v>41</v>
      </c>
      <c r="D1563" s="32" t="s">
        <v>39</v>
      </c>
      <c r="E1563" s="4">
        <f>[1]Source!AU1436</f>
        <v>10</v>
      </c>
      <c r="F1563" s="33"/>
      <c r="G1563" s="34"/>
      <c r="H1563" s="4"/>
      <c r="I1563" s="4"/>
      <c r="J1563" s="33">
        <f>SUM(AE1559:AE1562)</f>
        <v>1410.75</v>
      </c>
      <c r="K1563" s="33"/>
      <c r="M1563"/>
      <c r="N1563"/>
      <c r="O1563"/>
      <c r="P1563"/>
      <c r="Q1563"/>
    </row>
    <row r="1564" spans="1:33" ht="14.25" x14ac:dyDescent="0.2">
      <c r="A1564" s="31"/>
      <c r="B1564" s="31"/>
      <c r="C1564" s="31" t="s">
        <v>42</v>
      </c>
      <c r="D1564" s="32" t="s">
        <v>43</v>
      </c>
      <c r="E1564" s="4">
        <f>[1]Source!AQ1436</f>
        <v>3.36</v>
      </c>
      <c r="F1564" s="33"/>
      <c r="G1564" s="34" t="str">
        <f>[1]Source!DI1436</f>
        <v>)*1*10</v>
      </c>
      <c r="H1564" s="4">
        <f>[1]Source!AV1436</f>
        <v>1</v>
      </c>
      <c r="I1564" s="4"/>
      <c r="J1564" s="33"/>
      <c r="K1564" s="33">
        <f>[1]Source!U1436</f>
        <v>50.870400000000004</v>
      </c>
      <c r="M1564"/>
      <c r="N1564"/>
      <c r="O1564"/>
      <c r="P1564"/>
      <c r="Q1564"/>
    </row>
    <row r="1565" spans="1:33" ht="15" x14ac:dyDescent="0.25">
      <c r="A1565" s="35"/>
      <c r="B1565" s="35"/>
      <c r="C1565" s="35"/>
      <c r="D1565" s="35"/>
      <c r="E1565" s="35"/>
      <c r="F1565" s="35"/>
      <c r="G1565" s="35"/>
      <c r="H1565" s="35"/>
      <c r="I1565" s="36">
        <f>J1561+J1562+J1563</f>
        <v>25393.42</v>
      </c>
      <c r="J1565" s="36"/>
      <c r="K1565" s="37">
        <f>IF([1]Source!I1436&lt;&gt;0, ROUND(I1565/[1]Source!I1436, 2), 0)</f>
        <v>16772.400000000001</v>
      </c>
      <c r="M1565"/>
      <c r="N1565"/>
      <c r="O1565"/>
      <c r="P1565"/>
      <c r="Q1565"/>
      <c r="AA1565" s="38">
        <f>I1565</f>
        <v>25393.42</v>
      </c>
    </row>
    <row r="1566" spans="1:33" ht="57" x14ac:dyDescent="0.2">
      <c r="A1566" s="31">
        <v>222</v>
      </c>
      <c r="B1566" s="31" t="str">
        <f>[1]Source!F1437</f>
        <v>5.3-1102-27-2/1</v>
      </c>
      <c r="C1566" s="31" t="str">
        <f>[1]Source!G1437</f>
        <v>Очистка лотков с решетками от наледи, добавлять к 3-1102-27-1 на каждые 100 см2 изменения сечения лотка</v>
      </c>
      <c r="D1566" s="32" t="str">
        <f>[1]Source!H1437</f>
        <v>10 м</v>
      </c>
      <c r="E1566" s="4">
        <f>[1]Source!I1437</f>
        <v>1.514</v>
      </c>
      <c r="F1566" s="33"/>
      <c r="G1566" s="34"/>
      <c r="H1566" s="4"/>
      <c r="I1566" s="4"/>
      <c r="J1566" s="33"/>
      <c r="K1566" s="33"/>
      <c r="M1566"/>
      <c r="N1566"/>
      <c r="O1566"/>
      <c r="P1566"/>
      <c r="Q1566"/>
      <c r="AB1566">
        <f>ROUND(([1]Source!BZ1437/100)*ROUND(([1]Source!AF1437*[1]Source!AV1437)*[1]Source!I1437, 2), 2)</f>
        <v>4810.58</v>
      </c>
      <c r="AC1566">
        <f>[1]Source!X1437</f>
        <v>4810.58</v>
      </c>
      <c r="AD1566">
        <f>ROUND(([1]Source!CA1437/100)*ROUND(([1]Source!AF1437*[1]Source!AV1437)*[1]Source!I1437, 2), 2)</f>
        <v>687.23</v>
      </c>
      <c r="AE1566">
        <f>[1]Source!Y1437</f>
        <v>687.23</v>
      </c>
      <c r="AF1566">
        <f>ROUND((175/100)*ROUND(([1]Source!AE1437*[1]Source!AV1437)*[1]Source!I1437, 2), 2)</f>
        <v>0</v>
      </c>
      <c r="AG1566">
        <f>ROUND((108/100)*ROUND([1]Source!CS1437*[1]Source!I1437, 2), 2)</f>
        <v>0</v>
      </c>
    </row>
    <row r="1567" spans="1:33" x14ac:dyDescent="0.2">
      <c r="C1567" s="40" t="str">
        <f>"Объем: "&amp;[1]Source!I1437&amp;"=15,14/"&amp;"10"</f>
        <v>Объем: 1,514=15,14/10</v>
      </c>
      <c r="M1567"/>
      <c r="N1567"/>
      <c r="O1567"/>
      <c r="P1567"/>
      <c r="Q1567"/>
    </row>
    <row r="1568" spans="1:33" ht="14.25" x14ac:dyDescent="0.2">
      <c r="A1568" s="31"/>
      <c r="B1568" s="31"/>
      <c r="C1568" s="31" t="s">
        <v>34</v>
      </c>
      <c r="D1568" s="32"/>
      <c r="E1568" s="4"/>
      <c r="F1568" s="33">
        <f>[1]Source!AO1437</f>
        <v>366.06</v>
      </c>
      <c r="G1568" s="34" t="str">
        <f>[1]Source!DG1437</f>
        <v>)*1*1,24*10</v>
      </c>
      <c r="H1568" s="4">
        <f>[1]Source!AV1437</f>
        <v>1</v>
      </c>
      <c r="I1568" s="4">
        <f>IF([1]Source!BA1437&lt;&gt; 0, [1]Source!BA1437, 1)</f>
        <v>1</v>
      </c>
      <c r="J1568" s="33">
        <f>[1]Source!S1437</f>
        <v>6872.26</v>
      </c>
      <c r="K1568" s="33"/>
      <c r="M1568"/>
      <c r="N1568"/>
      <c r="O1568"/>
      <c r="P1568"/>
      <c r="Q1568"/>
    </row>
    <row r="1569" spans="1:33" ht="14.25" x14ac:dyDescent="0.2">
      <c r="A1569" s="31"/>
      <c r="B1569" s="31"/>
      <c r="C1569" s="31" t="s">
        <v>40</v>
      </c>
      <c r="D1569" s="32" t="s">
        <v>39</v>
      </c>
      <c r="E1569" s="4">
        <f>[1]Source!AT1437</f>
        <v>70</v>
      </c>
      <c r="F1569" s="33"/>
      <c r="G1569" s="34"/>
      <c r="H1569" s="4"/>
      <c r="I1569" s="4"/>
      <c r="J1569" s="33">
        <f>SUM(AC1566:AC1568)</f>
        <v>4810.58</v>
      </c>
      <c r="K1569" s="33"/>
      <c r="M1569"/>
      <c r="N1569"/>
      <c r="O1569"/>
      <c r="P1569"/>
      <c r="Q1569"/>
    </row>
    <row r="1570" spans="1:33" ht="14.25" x14ac:dyDescent="0.2">
      <c r="A1570" s="31"/>
      <c r="B1570" s="31"/>
      <c r="C1570" s="31" t="s">
        <v>41</v>
      </c>
      <c r="D1570" s="32" t="s">
        <v>39</v>
      </c>
      <c r="E1570" s="4">
        <f>[1]Source!AU1437</f>
        <v>10</v>
      </c>
      <c r="F1570" s="33"/>
      <c r="G1570" s="34"/>
      <c r="H1570" s="4"/>
      <c r="I1570" s="4"/>
      <c r="J1570" s="33">
        <f>SUM(AE1566:AE1569)</f>
        <v>687.23</v>
      </c>
      <c r="K1570" s="33"/>
      <c r="M1570"/>
      <c r="N1570"/>
      <c r="O1570"/>
      <c r="P1570"/>
      <c r="Q1570"/>
    </row>
    <row r="1571" spans="1:33" ht="14.25" x14ac:dyDescent="0.2">
      <c r="A1571" s="31"/>
      <c r="B1571" s="31"/>
      <c r="C1571" s="31" t="s">
        <v>42</v>
      </c>
      <c r="D1571" s="32" t="s">
        <v>43</v>
      </c>
      <c r="E1571" s="4">
        <f>[1]Source!AQ1437</f>
        <v>1.32</v>
      </c>
      <c r="F1571" s="33"/>
      <c r="G1571" s="34" t="str">
        <f>[1]Source!DI1437</f>
        <v>)*1*1,24*10</v>
      </c>
      <c r="H1571" s="4">
        <f>[1]Source!AV1437</f>
        <v>1</v>
      </c>
      <c r="I1571" s="4"/>
      <c r="J1571" s="33"/>
      <c r="K1571" s="33">
        <f>[1]Source!U1437</f>
        <v>24.781152000000002</v>
      </c>
      <c r="M1571"/>
      <c r="N1571"/>
      <c r="O1571"/>
      <c r="P1571"/>
      <c r="Q1571"/>
    </row>
    <row r="1572" spans="1:33" ht="15" x14ac:dyDescent="0.25">
      <c r="A1572" s="35"/>
      <c r="B1572" s="35"/>
      <c r="C1572" s="35"/>
      <c r="D1572" s="35"/>
      <c r="E1572" s="35"/>
      <c r="F1572" s="35"/>
      <c r="G1572" s="35"/>
      <c r="H1572" s="35"/>
      <c r="I1572" s="36">
        <f>J1568+J1569+J1570</f>
        <v>12370.07</v>
      </c>
      <c r="J1572" s="36"/>
      <c r="K1572" s="37">
        <f>IF([1]Source!I1437&lt;&gt;0, ROUND(I1572/[1]Source!I1437, 2), 0)</f>
        <v>8170.46</v>
      </c>
      <c r="M1572"/>
      <c r="N1572"/>
      <c r="O1572"/>
      <c r="P1572"/>
      <c r="Q1572"/>
      <c r="AA1572" s="38">
        <f>I1572</f>
        <v>12370.07</v>
      </c>
    </row>
    <row r="1573" spans="1:33" ht="57" x14ac:dyDescent="0.2">
      <c r="A1573" s="31">
        <v>223</v>
      </c>
      <c r="B1573" s="31" t="str">
        <f>[1]Source!F1438</f>
        <v>5.3-1102-27-1/1</v>
      </c>
      <c r="C1573" s="31" t="str">
        <f>[1]Source!G1438</f>
        <v>Очистка лотков с решетками от наледи, сечение лотка 100 см2, количество креплений решеток 20 шт.( сечение 225 см2)</v>
      </c>
      <c r="D1573" s="32" t="str">
        <f>[1]Source!H1438</f>
        <v>10 м</v>
      </c>
      <c r="E1573" s="4">
        <f>[1]Source!I1438</f>
        <v>4.3159999999999998</v>
      </c>
      <c r="F1573" s="33"/>
      <c r="G1573" s="34"/>
      <c r="H1573" s="4"/>
      <c r="I1573" s="4"/>
      <c r="J1573" s="33"/>
      <c r="K1573" s="33"/>
      <c r="M1573"/>
      <c r="N1573"/>
      <c r="O1573"/>
      <c r="P1573"/>
      <c r="Q1573"/>
      <c r="AB1573">
        <f>ROUND(([1]Source!BZ1438/100)*ROUND(([1]Source!AF1438*[1]Source!AV1438)*[1]Source!I1438, 2), 2)</f>
        <v>28151.54</v>
      </c>
      <c r="AC1573">
        <f>[1]Source!X1438</f>
        <v>28151.54</v>
      </c>
      <c r="AD1573">
        <f>ROUND(([1]Source!CA1438/100)*ROUND(([1]Source!AF1438*[1]Source!AV1438)*[1]Source!I1438, 2), 2)</f>
        <v>4021.65</v>
      </c>
      <c r="AE1573">
        <f>[1]Source!Y1438</f>
        <v>4021.65</v>
      </c>
      <c r="AF1573">
        <f>ROUND((175/100)*ROUND(([1]Source!AE1438*[1]Source!AV1438)*[1]Source!I1438, 2), 2)</f>
        <v>0</v>
      </c>
      <c r="AG1573">
        <f>ROUND((108/100)*ROUND([1]Source!CS1438*[1]Source!I1438, 2), 2)</f>
        <v>0</v>
      </c>
    </row>
    <row r="1574" spans="1:33" x14ac:dyDescent="0.2">
      <c r="C1574" s="40" t="str">
        <f>"Объем: "&amp;[1]Source!I1438&amp;"=43,16/"&amp;"10"</f>
        <v>Объем: 4,316=43,16/10</v>
      </c>
      <c r="M1574"/>
      <c r="N1574"/>
      <c r="O1574"/>
      <c r="P1574"/>
      <c r="Q1574"/>
    </row>
    <row r="1575" spans="1:33" ht="14.25" x14ac:dyDescent="0.2">
      <c r="A1575" s="31"/>
      <c r="B1575" s="31"/>
      <c r="C1575" s="31" t="s">
        <v>34</v>
      </c>
      <c r="D1575" s="32"/>
      <c r="E1575" s="4"/>
      <c r="F1575" s="33">
        <f>[1]Source!AO1438</f>
        <v>931.8</v>
      </c>
      <c r="G1575" s="34" t="str">
        <f>[1]Source!DG1438</f>
        <v>)*1*10</v>
      </c>
      <c r="H1575" s="4">
        <f>[1]Source!AV1438</f>
        <v>1</v>
      </c>
      <c r="I1575" s="4">
        <f>IF([1]Source!BA1438&lt;&gt; 0, [1]Source!BA1438, 1)</f>
        <v>1</v>
      </c>
      <c r="J1575" s="33">
        <f>[1]Source!S1438</f>
        <v>40216.49</v>
      </c>
      <c r="K1575" s="33"/>
      <c r="M1575"/>
      <c r="N1575"/>
      <c r="O1575"/>
      <c r="P1575"/>
      <c r="Q1575"/>
    </row>
    <row r="1576" spans="1:33" ht="14.25" x14ac:dyDescent="0.2">
      <c r="A1576" s="31"/>
      <c r="B1576" s="31"/>
      <c r="C1576" s="31" t="s">
        <v>40</v>
      </c>
      <c r="D1576" s="32" t="s">
        <v>39</v>
      </c>
      <c r="E1576" s="4">
        <f>[1]Source!AT1438</f>
        <v>70</v>
      </c>
      <c r="F1576" s="33"/>
      <c r="G1576" s="34"/>
      <c r="H1576" s="4"/>
      <c r="I1576" s="4"/>
      <c r="J1576" s="33">
        <f>SUM(AC1573:AC1575)</f>
        <v>28151.54</v>
      </c>
      <c r="K1576" s="33"/>
      <c r="M1576"/>
      <c r="N1576"/>
      <c r="O1576"/>
      <c r="P1576"/>
      <c r="Q1576"/>
    </row>
    <row r="1577" spans="1:33" ht="14.25" x14ac:dyDescent="0.2">
      <c r="A1577" s="31"/>
      <c r="B1577" s="31"/>
      <c r="C1577" s="31" t="s">
        <v>41</v>
      </c>
      <c r="D1577" s="32" t="s">
        <v>39</v>
      </c>
      <c r="E1577" s="4">
        <f>[1]Source!AU1438</f>
        <v>10</v>
      </c>
      <c r="F1577" s="33"/>
      <c r="G1577" s="34"/>
      <c r="H1577" s="4"/>
      <c r="I1577" s="4"/>
      <c r="J1577" s="33">
        <f>SUM(AE1573:AE1576)</f>
        <v>4021.65</v>
      </c>
      <c r="K1577" s="33"/>
      <c r="M1577"/>
      <c r="N1577"/>
      <c r="O1577"/>
      <c r="P1577"/>
      <c r="Q1577"/>
    </row>
    <row r="1578" spans="1:33" ht="14.25" x14ac:dyDescent="0.2">
      <c r="A1578" s="31"/>
      <c r="B1578" s="31"/>
      <c r="C1578" s="31" t="s">
        <v>42</v>
      </c>
      <c r="D1578" s="32" t="s">
        <v>43</v>
      </c>
      <c r="E1578" s="4">
        <f>[1]Source!AQ1438</f>
        <v>3.36</v>
      </c>
      <c r="F1578" s="33"/>
      <c r="G1578" s="34" t="str">
        <f>[1]Source!DI1438</f>
        <v>)*1*10</v>
      </c>
      <c r="H1578" s="4">
        <f>[1]Source!AV1438</f>
        <v>1</v>
      </c>
      <c r="I1578" s="4"/>
      <c r="J1578" s="33"/>
      <c r="K1578" s="33">
        <f>[1]Source!U1438</f>
        <v>145.01759999999999</v>
      </c>
      <c r="M1578"/>
      <c r="N1578"/>
      <c r="O1578"/>
      <c r="P1578"/>
      <c r="Q1578"/>
    </row>
    <row r="1579" spans="1:33" ht="15" x14ac:dyDescent="0.25">
      <c r="A1579" s="35"/>
      <c r="B1579" s="35"/>
      <c r="C1579" s="35"/>
      <c r="D1579" s="35"/>
      <c r="E1579" s="35"/>
      <c r="F1579" s="35"/>
      <c r="G1579" s="35"/>
      <c r="H1579" s="35"/>
      <c r="I1579" s="36">
        <f>J1575+J1576+J1577</f>
        <v>72389.679999999993</v>
      </c>
      <c r="J1579" s="36"/>
      <c r="K1579" s="37">
        <f>IF([1]Source!I1438&lt;&gt;0, ROUND(I1579/[1]Source!I1438, 2), 0)</f>
        <v>16772.400000000001</v>
      </c>
      <c r="M1579"/>
      <c r="N1579"/>
      <c r="O1579"/>
      <c r="P1579"/>
      <c r="Q1579"/>
      <c r="AA1579" s="38">
        <f>I1579</f>
        <v>72389.679999999993</v>
      </c>
    </row>
    <row r="1580" spans="1:33" ht="57" x14ac:dyDescent="0.2">
      <c r="A1580" s="31">
        <v>224</v>
      </c>
      <c r="B1580" s="31" t="str">
        <f>[1]Source!F1439</f>
        <v>5.3-1102-27-2/1</v>
      </c>
      <c r="C1580" s="31" t="str">
        <f>[1]Source!G1439</f>
        <v>Очистка лотков с решетками от наледи, добавлять к 3-1102-27-1 на каждые 100 см2 изменения сечения лотка</v>
      </c>
      <c r="D1580" s="32" t="str">
        <f>[1]Source!H1439</f>
        <v>10 м</v>
      </c>
      <c r="E1580" s="4">
        <f>[1]Source!I1439</f>
        <v>4.3159999999999998</v>
      </c>
      <c r="F1580" s="33"/>
      <c r="G1580" s="34"/>
      <c r="H1580" s="4"/>
      <c r="I1580" s="4"/>
      <c r="J1580" s="33"/>
      <c r="K1580" s="33"/>
      <c r="M1580"/>
      <c r="N1580"/>
      <c r="O1580"/>
      <c r="P1580"/>
      <c r="Q1580"/>
      <c r="AB1580">
        <f>ROUND(([1]Source!BZ1439/100)*ROUND(([1]Source!AF1439*[1]Source!AV1439)*[1]Source!I1439, 2), 2)</f>
        <v>13824.26</v>
      </c>
      <c r="AC1580">
        <f>[1]Source!X1439</f>
        <v>13824.26</v>
      </c>
      <c r="AD1580">
        <f>ROUND(([1]Source!CA1439/100)*ROUND(([1]Source!AF1439*[1]Source!AV1439)*[1]Source!I1439, 2), 2)</f>
        <v>1974.89</v>
      </c>
      <c r="AE1580">
        <f>[1]Source!Y1439</f>
        <v>1974.89</v>
      </c>
      <c r="AF1580">
        <f>ROUND((175/100)*ROUND(([1]Source!AE1439*[1]Source!AV1439)*[1]Source!I1439, 2), 2)</f>
        <v>0</v>
      </c>
      <c r="AG1580">
        <f>ROUND((108/100)*ROUND([1]Source!CS1439*[1]Source!I1439, 2), 2)</f>
        <v>0</v>
      </c>
    </row>
    <row r="1581" spans="1:33" x14ac:dyDescent="0.2">
      <c r="C1581" s="40" t="str">
        <f>"Объем: "&amp;[1]Source!I1439&amp;"=43,16/"&amp;"10"</f>
        <v>Объем: 4,316=43,16/10</v>
      </c>
      <c r="M1581"/>
      <c r="N1581"/>
      <c r="O1581"/>
      <c r="P1581"/>
      <c r="Q1581"/>
    </row>
    <row r="1582" spans="1:33" ht="14.25" x14ac:dyDescent="0.2">
      <c r="A1582" s="31"/>
      <c r="B1582" s="31"/>
      <c r="C1582" s="31" t="s">
        <v>34</v>
      </c>
      <c r="D1582" s="32"/>
      <c r="E1582" s="4"/>
      <c r="F1582" s="33">
        <f>[1]Source!AO1439</f>
        <v>366.06</v>
      </c>
      <c r="G1582" s="34" t="str">
        <f>[1]Source!DG1439</f>
        <v>)*1*1,25*10</v>
      </c>
      <c r="H1582" s="4">
        <f>[1]Source!AV1439</f>
        <v>1</v>
      </c>
      <c r="I1582" s="4">
        <f>IF([1]Source!BA1439&lt;&gt; 0, [1]Source!BA1439, 1)</f>
        <v>1</v>
      </c>
      <c r="J1582" s="33">
        <f>[1]Source!S1439</f>
        <v>19748.939999999999</v>
      </c>
      <c r="K1582" s="33"/>
      <c r="M1582"/>
      <c r="N1582"/>
      <c r="O1582"/>
      <c r="P1582"/>
      <c r="Q1582"/>
    </row>
    <row r="1583" spans="1:33" ht="14.25" x14ac:dyDescent="0.2">
      <c r="A1583" s="31"/>
      <c r="B1583" s="31"/>
      <c r="C1583" s="31" t="s">
        <v>40</v>
      </c>
      <c r="D1583" s="32" t="s">
        <v>39</v>
      </c>
      <c r="E1583" s="4">
        <f>[1]Source!AT1439</f>
        <v>70</v>
      </c>
      <c r="F1583" s="33"/>
      <c r="G1583" s="34"/>
      <c r="H1583" s="4"/>
      <c r="I1583" s="4"/>
      <c r="J1583" s="33">
        <f>SUM(AC1580:AC1582)</f>
        <v>13824.26</v>
      </c>
      <c r="K1583" s="33"/>
      <c r="M1583"/>
      <c r="N1583"/>
      <c r="O1583"/>
      <c r="P1583"/>
      <c r="Q1583"/>
    </row>
    <row r="1584" spans="1:33" ht="14.25" x14ac:dyDescent="0.2">
      <c r="A1584" s="31"/>
      <c r="B1584" s="31"/>
      <c r="C1584" s="31" t="s">
        <v>41</v>
      </c>
      <c r="D1584" s="32" t="s">
        <v>39</v>
      </c>
      <c r="E1584" s="4">
        <f>[1]Source!AU1439</f>
        <v>10</v>
      </c>
      <c r="F1584" s="33"/>
      <c r="G1584" s="34"/>
      <c r="H1584" s="4"/>
      <c r="I1584" s="4"/>
      <c r="J1584" s="33">
        <f>SUM(AE1580:AE1583)</f>
        <v>1974.89</v>
      </c>
      <c r="K1584" s="33"/>
      <c r="M1584"/>
      <c r="N1584"/>
      <c r="O1584"/>
      <c r="P1584"/>
      <c r="Q1584"/>
    </row>
    <row r="1585" spans="1:33" ht="14.25" x14ac:dyDescent="0.2">
      <c r="A1585" s="31"/>
      <c r="B1585" s="31"/>
      <c r="C1585" s="31" t="s">
        <v>42</v>
      </c>
      <c r="D1585" s="32" t="s">
        <v>43</v>
      </c>
      <c r="E1585" s="4">
        <f>[1]Source!AQ1439</f>
        <v>1.32</v>
      </c>
      <c r="F1585" s="33"/>
      <c r="G1585" s="34" t="str">
        <f>[1]Source!DI1439</f>
        <v>)*1*1,25*10</v>
      </c>
      <c r="H1585" s="4">
        <f>[1]Source!AV1439</f>
        <v>1</v>
      </c>
      <c r="I1585" s="4"/>
      <c r="J1585" s="33"/>
      <c r="K1585" s="33">
        <f>[1]Source!U1439</f>
        <v>71.213999999999999</v>
      </c>
      <c r="M1585"/>
      <c r="N1585"/>
      <c r="O1585"/>
      <c r="P1585"/>
      <c r="Q1585"/>
    </row>
    <row r="1586" spans="1:33" ht="15" x14ac:dyDescent="0.25">
      <c r="A1586" s="35"/>
      <c r="B1586" s="35"/>
      <c r="C1586" s="35"/>
      <c r="D1586" s="35"/>
      <c r="E1586" s="35"/>
      <c r="F1586" s="35"/>
      <c r="G1586" s="35"/>
      <c r="H1586" s="35"/>
      <c r="I1586" s="36">
        <f>J1582+J1583+J1584</f>
        <v>35548.089999999997</v>
      </c>
      <c r="J1586" s="36"/>
      <c r="K1586" s="37">
        <f>IF([1]Source!I1439&lt;&gt;0, ROUND(I1586/[1]Source!I1439, 2), 0)</f>
        <v>8236.35</v>
      </c>
      <c r="M1586"/>
      <c r="N1586"/>
      <c r="O1586"/>
      <c r="P1586"/>
      <c r="Q1586"/>
      <c r="AA1586" s="38">
        <f>I1586</f>
        <v>35548.089999999997</v>
      </c>
    </row>
    <row r="1587" spans="1:33" ht="57" x14ac:dyDescent="0.2">
      <c r="A1587" s="31">
        <v>225</v>
      </c>
      <c r="B1587" s="31" t="str">
        <f>[1]Source!F1440</f>
        <v>5.3-1102-27-1/1</v>
      </c>
      <c r="C1587" s="31" t="str">
        <f>[1]Source!G1440</f>
        <v>Очистка лотков с решетками от наледи, сечение лотка 100 см2, количество креплений решеток 20 шт.( сечение 262,5 см2)</v>
      </c>
      <c r="D1587" s="32" t="str">
        <f>[1]Source!H1440</f>
        <v>10 м</v>
      </c>
      <c r="E1587" s="4">
        <f>[1]Source!I1440</f>
        <v>3.7530000000000001</v>
      </c>
      <c r="F1587" s="33"/>
      <c r="G1587" s="34"/>
      <c r="H1587" s="4"/>
      <c r="I1587" s="4"/>
      <c r="J1587" s="33"/>
      <c r="K1587" s="33"/>
      <c r="M1587"/>
      <c r="N1587"/>
      <c r="O1587"/>
      <c r="P1587"/>
      <c r="Q1587"/>
      <c r="AB1587">
        <f>ROUND(([1]Source!BZ1440/100)*ROUND(([1]Source!AF1440*[1]Source!AV1440)*[1]Source!I1440, 2), 2)</f>
        <v>24479.32</v>
      </c>
      <c r="AC1587">
        <f>[1]Source!X1440</f>
        <v>24479.32</v>
      </c>
      <c r="AD1587">
        <f>ROUND(([1]Source!CA1440/100)*ROUND(([1]Source!AF1440*[1]Source!AV1440)*[1]Source!I1440, 2), 2)</f>
        <v>3497.05</v>
      </c>
      <c r="AE1587">
        <f>[1]Source!Y1440</f>
        <v>3497.05</v>
      </c>
      <c r="AF1587">
        <f>ROUND((175/100)*ROUND(([1]Source!AE1440*[1]Source!AV1440)*[1]Source!I1440, 2), 2)</f>
        <v>0</v>
      </c>
      <c r="AG1587">
        <f>ROUND((108/100)*ROUND([1]Source!CS1440*[1]Source!I1440, 2), 2)</f>
        <v>0</v>
      </c>
    </row>
    <row r="1588" spans="1:33" x14ac:dyDescent="0.2">
      <c r="C1588" s="40" t="str">
        <f>"Объем: "&amp;[1]Source!I1440&amp;"=37,53/"&amp;"10"</f>
        <v>Объем: 3,753=37,53/10</v>
      </c>
      <c r="M1588"/>
      <c r="N1588"/>
      <c r="O1588"/>
      <c r="P1588"/>
      <c r="Q1588"/>
    </row>
    <row r="1589" spans="1:33" ht="14.25" x14ac:dyDescent="0.2">
      <c r="A1589" s="31"/>
      <c r="B1589" s="31"/>
      <c r="C1589" s="31" t="s">
        <v>34</v>
      </c>
      <c r="D1589" s="32"/>
      <c r="E1589" s="4"/>
      <c r="F1589" s="33">
        <f>[1]Source!AO1440</f>
        <v>931.8</v>
      </c>
      <c r="G1589" s="34" t="str">
        <f>[1]Source!DG1440</f>
        <v>)*1*10</v>
      </c>
      <c r="H1589" s="4">
        <f>[1]Source!AV1440</f>
        <v>1</v>
      </c>
      <c r="I1589" s="4">
        <f>IF([1]Source!BA1440&lt;&gt; 0, [1]Source!BA1440, 1)</f>
        <v>1</v>
      </c>
      <c r="J1589" s="33">
        <f>[1]Source!S1440</f>
        <v>34970.449999999997</v>
      </c>
      <c r="K1589" s="33"/>
      <c r="M1589"/>
      <c r="N1589"/>
      <c r="O1589"/>
      <c r="P1589"/>
      <c r="Q1589"/>
    </row>
    <row r="1590" spans="1:33" ht="14.25" x14ac:dyDescent="0.2">
      <c r="A1590" s="31"/>
      <c r="B1590" s="31"/>
      <c r="C1590" s="31" t="s">
        <v>40</v>
      </c>
      <c r="D1590" s="32" t="s">
        <v>39</v>
      </c>
      <c r="E1590" s="4">
        <f>[1]Source!AT1440</f>
        <v>70</v>
      </c>
      <c r="F1590" s="33"/>
      <c r="G1590" s="34"/>
      <c r="H1590" s="4"/>
      <c r="I1590" s="4"/>
      <c r="J1590" s="33">
        <f>SUM(AC1587:AC1589)</f>
        <v>24479.32</v>
      </c>
      <c r="K1590" s="33"/>
      <c r="M1590"/>
      <c r="N1590"/>
      <c r="O1590"/>
      <c r="P1590"/>
      <c r="Q1590"/>
    </row>
    <row r="1591" spans="1:33" ht="14.25" x14ac:dyDescent="0.2">
      <c r="A1591" s="31"/>
      <c r="B1591" s="31"/>
      <c r="C1591" s="31" t="s">
        <v>41</v>
      </c>
      <c r="D1591" s="32" t="s">
        <v>39</v>
      </c>
      <c r="E1591" s="4">
        <f>[1]Source!AU1440</f>
        <v>10</v>
      </c>
      <c r="F1591" s="33"/>
      <c r="G1591" s="34"/>
      <c r="H1591" s="4"/>
      <c r="I1591" s="4"/>
      <c r="J1591" s="33">
        <f>SUM(AE1587:AE1590)</f>
        <v>3497.05</v>
      </c>
      <c r="K1591" s="33"/>
      <c r="M1591"/>
      <c r="N1591"/>
      <c r="O1591"/>
      <c r="P1591"/>
      <c r="Q1591"/>
    </row>
    <row r="1592" spans="1:33" ht="14.25" x14ac:dyDescent="0.2">
      <c r="A1592" s="31"/>
      <c r="B1592" s="31"/>
      <c r="C1592" s="31" t="s">
        <v>42</v>
      </c>
      <c r="D1592" s="32" t="s">
        <v>43</v>
      </c>
      <c r="E1592" s="4">
        <f>[1]Source!AQ1440</f>
        <v>3.36</v>
      </c>
      <c r="F1592" s="33"/>
      <c r="G1592" s="34" t="str">
        <f>[1]Source!DI1440</f>
        <v>)*1*10</v>
      </c>
      <c r="H1592" s="4">
        <f>[1]Source!AV1440</f>
        <v>1</v>
      </c>
      <c r="I1592" s="4"/>
      <c r="J1592" s="33"/>
      <c r="K1592" s="33">
        <f>[1]Source!U1440</f>
        <v>126.10080000000001</v>
      </c>
      <c r="M1592"/>
      <c r="N1592"/>
      <c r="O1592"/>
      <c r="P1592"/>
      <c r="Q1592"/>
    </row>
    <row r="1593" spans="1:33" ht="15" x14ac:dyDescent="0.25">
      <c r="A1593" s="35"/>
      <c r="B1593" s="35"/>
      <c r="C1593" s="35"/>
      <c r="D1593" s="35"/>
      <c r="E1593" s="35"/>
      <c r="F1593" s="35"/>
      <c r="G1593" s="35"/>
      <c r="H1593" s="35"/>
      <c r="I1593" s="36">
        <f>J1589+J1590+J1591</f>
        <v>62946.82</v>
      </c>
      <c r="J1593" s="36"/>
      <c r="K1593" s="37">
        <f>IF([1]Source!I1440&lt;&gt;0, ROUND(I1593/[1]Source!I1440, 2), 0)</f>
        <v>16772.400000000001</v>
      </c>
      <c r="M1593"/>
      <c r="N1593"/>
      <c r="O1593"/>
      <c r="P1593"/>
      <c r="Q1593"/>
      <c r="AA1593" s="38">
        <f>I1593</f>
        <v>62946.82</v>
      </c>
    </row>
    <row r="1594" spans="1:33" ht="57" x14ac:dyDescent="0.2">
      <c r="A1594" s="31">
        <v>226</v>
      </c>
      <c r="B1594" s="31" t="str">
        <f>[1]Source!F1441</f>
        <v>5.3-1102-27-2/1</v>
      </c>
      <c r="C1594" s="31" t="str">
        <f>[1]Source!G1441</f>
        <v>Очистка лотков с решетками от наледи, добавлять к 3-1102-27-1 на каждые 100 см2 изменения сечения лотка</v>
      </c>
      <c r="D1594" s="32" t="str">
        <f>[1]Source!H1441</f>
        <v>10 м</v>
      </c>
      <c r="E1594" s="4">
        <f>[1]Source!I1441</f>
        <v>3.7530000000000001</v>
      </c>
      <c r="F1594" s="33"/>
      <c r="G1594" s="34"/>
      <c r="H1594" s="4"/>
      <c r="I1594" s="4"/>
      <c r="J1594" s="33"/>
      <c r="K1594" s="33"/>
      <c r="M1594"/>
      <c r="N1594"/>
      <c r="O1594"/>
      <c r="P1594"/>
      <c r="Q1594"/>
      <c r="AB1594">
        <f>ROUND(([1]Source!BZ1441/100)*ROUND(([1]Source!AF1441*[1]Source!AV1441)*[1]Source!I1441, 2), 2)</f>
        <v>15627.24</v>
      </c>
      <c r="AC1594">
        <f>[1]Source!X1441</f>
        <v>15627.24</v>
      </c>
      <c r="AD1594">
        <f>ROUND(([1]Source!CA1441/100)*ROUND(([1]Source!AF1441*[1]Source!AV1441)*[1]Source!I1441, 2), 2)</f>
        <v>2232.46</v>
      </c>
      <c r="AE1594">
        <f>[1]Source!Y1441</f>
        <v>2232.46</v>
      </c>
      <c r="AF1594">
        <f>ROUND((175/100)*ROUND(([1]Source!AE1441*[1]Source!AV1441)*[1]Source!I1441, 2), 2)</f>
        <v>0</v>
      </c>
      <c r="AG1594">
        <f>ROUND((108/100)*ROUND([1]Source!CS1441*[1]Source!I1441, 2), 2)</f>
        <v>0</v>
      </c>
    </row>
    <row r="1595" spans="1:33" x14ac:dyDescent="0.2">
      <c r="C1595" s="40" t="str">
        <f>"Объем: "&amp;[1]Source!I1441&amp;"=37,53/"&amp;"10"</f>
        <v>Объем: 3,753=37,53/10</v>
      </c>
      <c r="M1595"/>
      <c r="N1595"/>
      <c r="O1595"/>
      <c r="P1595"/>
      <c r="Q1595"/>
    </row>
    <row r="1596" spans="1:33" ht="28.5" x14ac:dyDescent="0.2">
      <c r="A1596" s="31"/>
      <c r="B1596" s="31"/>
      <c r="C1596" s="31" t="s">
        <v>34</v>
      </c>
      <c r="D1596" s="32"/>
      <c r="E1596" s="4"/>
      <c r="F1596" s="33">
        <f>[1]Source!AO1441</f>
        <v>366.06</v>
      </c>
      <c r="G1596" s="34" t="str">
        <f>[1]Source!DG1441</f>
        <v>)*1*1,625*10</v>
      </c>
      <c r="H1596" s="4">
        <f>[1]Source!AV1441</f>
        <v>1</v>
      </c>
      <c r="I1596" s="4">
        <f>IF([1]Source!BA1441&lt;&gt; 0, [1]Source!BA1441, 1)</f>
        <v>1</v>
      </c>
      <c r="J1596" s="33">
        <f>[1]Source!S1441</f>
        <v>22324.63</v>
      </c>
      <c r="K1596" s="33"/>
      <c r="M1596"/>
      <c r="N1596"/>
      <c r="O1596"/>
      <c r="P1596"/>
      <c r="Q1596"/>
    </row>
    <row r="1597" spans="1:33" ht="14.25" x14ac:dyDescent="0.2">
      <c r="A1597" s="31"/>
      <c r="B1597" s="31"/>
      <c r="C1597" s="31" t="s">
        <v>40</v>
      </c>
      <c r="D1597" s="32" t="s">
        <v>39</v>
      </c>
      <c r="E1597" s="4">
        <f>[1]Source!AT1441</f>
        <v>70</v>
      </c>
      <c r="F1597" s="33"/>
      <c r="G1597" s="34"/>
      <c r="H1597" s="4"/>
      <c r="I1597" s="4"/>
      <c r="J1597" s="33">
        <f>SUM(AC1594:AC1596)</f>
        <v>15627.24</v>
      </c>
      <c r="K1597" s="33"/>
      <c r="M1597"/>
      <c r="N1597"/>
      <c r="O1597"/>
      <c r="P1597"/>
      <c r="Q1597"/>
    </row>
    <row r="1598" spans="1:33" ht="14.25" x14ac:dyDescent="0.2">
      <c r="A1598" s="31"/>
      <c r="B1598" s="31"/>
      <c r="C1598" s="31" t="s">
        <v>41</v>
      </c>
      <c r="D1598" s="32" t="s">
        <v>39</v>
      </c>
      <c r="E1598" s="4">
        <f>[1]Source!AU1441</f>
        <v>10</v>
      </c>
      <c r="F1598" s="33"/>
      <c r="G1598" s="34"/>
      <c r="H1598" s="4"/>
      <c r="I1598" s="4"/>
      <c r="J1598" s="33">
        <f>SUM(AE1594:AE1597)</f>
        <v>2232.46</v>
      </c>
      <c r="K1598" s="33"/>
      <c r="M1598"/>
      <c r="N1598"/>
      <c r="O1598"/>
      <c r="P1598"/>
      <c r="Q1598"/>
    </row>
    <row r="1599" spans="1:33" ht="28.5" x14ac:dyDescent="0.2">
      <c r="A1599" s="31"/>
      <c r="B1599" s="31"/>
      <c r="C1599" s="31" t="s">
        <v>42</v>
      </c>
      <c r="D1599" s="32" t="s">
        <v>43</v>
      </c>
      <c r="E1599" s="4">
        <f>[1]Source!AQ1441</f>
        <v>1.32</v>
      </c>
      <c r="F1599" s="33"/>
      <c r="G1599" s="34" t="str">
        <f>[1]Source!DI1441</f>
        <v>)*1*1,625*10</v>
      </c>
      <c r="H1599" s="4">
        <f>[1]Source!AV1441</f>
        <v>1</v>
      </c>
      <c r="I1599" s="4"/>
      <c r="J1599" s="33"/>
      <c r="K1599" s="33">
        <f>[1]Source!U1441</f>
        <v>80.501850000000005</v>
      </c>
      <c r="M1599"/>
      <c r="N1599"/>
      <c r="O1599"/>
      <c r="P1599"/>
      <c r="Q1599"/>
    </row>
    <row r="1600" spans="1:33" ht="15" x14ac:dyDescent="0.25">
      <c r="A1600" s="35"/>
      <c r="B1600" s="35"/>
      <c r="C1600" s="35"/>
      <c r="D1600" s="35"/>
      <c r="E1600" s="35"/>
      <c r="F1600" s="35"/>
      <c r="G1600" s="35"/>
      <c r="H1600" s="35"/>
      <c r="I1600" s="36">
        <f>J1596+J1597+J1598</f>
        <v>40184.33</v>
      </c>
      <c r="J1600" s="36"/>
      <c r="K1600" s="37">
        <f>IF([1]Source!I1441&lt;&gt;0, ROUND(I1600/[1]Source!I1441, 2), 0)</f>
        <v>10707.26</v>
      </c>
      <c r="M1600"/>
      <c r="N1600"/>
      <c r="O1600"/>
      <c r="P1600"/>
      <c r="Q1600"/>
      <c r="AA1600" s="38">
        <f>I1600</f>
        <v>40184.33</v>
      </c>
    </row>
    <row r="1601" spans="1:33" ht="57" x14ac:dyDescent="0.2">
      <c r="A1601" s="31">
        <v>227</v>
      </c>
      <c r="B1601" s="31" t="str">
        <f>[1]Source!F1442</f>
        <v>5.3-1102-27-1/1</v>
      </c>
      <c r="C1601" s="31" t="str">
        <f>[1]Source!G1442</f>
        <v>Очистка лотков с решетками от наледи, сечение лотка 100 см2, количество креплений решеток 20 шт.( сечение 280 см2)</v>
      </c>
      <c r="D1601" s="32" t="str">
        <f>[1]Source!H1442</f>
        <v>10 м</v>
      </c>
      <c r="E1601" s="4">
        <f>[1]Source!I1442</f>
        <v>6.5</v>
      </c>
      <c r="F1601" s="33"/>
      <c r="G1601" s="34"/>
      <c r="H1601" s="4"/>
      <c r="I1601" s="4"/>
      <c r="J1601" s="33"/>
      <c r="K1601" s="33"/>
      <c r="M1601"/>
      <c r="N1601"/>
      <c r="O1601"/>
      <c r="P1601"/>
      <c r="Q1601"/>
      <c r="AB1601">
        <f>ROUND(([1]Source!BZ1442/100)*ROUND(([1]Source!AF1442*[1]Source!AV1442)*[1]Source!I1442, 2), 2)</f>
        <v>42396.9</v>
      </c>
      <c r="AC1601">
        <f>[1]Source!X1442</f>
        <v>42396.9</v>
      </c>
      <c r="AD1601">
        <f>ROUND(([1]Source!CA1442/100)*ROUND(([1]Source!AF1442*[1]Source!AV1442)*[1]Source!I1442, 2), 2)</f>
        <v>6056.7</v>
      </c>
      <c r="AE1601">
        <f>[1]Source!Y1442</f>
        <v>6056.7</v>
      </c>
      <c r="AF1601">
        <f>ROUND((175/100)*ROUND(([1]Source!AE1442*[1]Source!AV1442)*[1]Source!I1442, 2), 2)</f>
        <v>0</v>
      </c>
      <c r="AG1601">
        <f>ROUND((108/100)*ROUND([1]Source!CS1442*[1]Source!I1442, 2), 2)</f>
        <v>0</v>
      </c>
    </row>
    <row r="1602" spans="1:33" x14ac:dyDescent="0.2">
      <c r="C1602" s="40" t="str">
        <f>"Объем: "&amp;[1]Source!I1442&amp;"=65/"&amp;"10"</f>
        <v>Объем: 6,5=65/10</v>
      </c>
      <c r="M1602"/>
      <c r="N1602"/>
      <c r="O1602"/>
      <c r="P1602"/>
      <c r="Q1602"/>
    </row>
    <row r="1603" spans="1:33" ht="14.25" x14ac:dyDescent="0.2">
      <c r="A1603" s="31"/>
      <c r="B1603" s="31"/>
      <c r="C1603" s="31" t="s">
        <v>34</v>
      </c>
      <c r="D1603" s="32"/>
      <c r="E1603" s="4"/>
      <c r="F1603" s="33">
        <f>[1]Source!AO1442</f>
        <v>931.8</v>
      </c>
      <c r="G1603" s="34" t="str">
        <f>[1]Source!DG1442</f>
        <v>)*1*10</v>
      </c>
      <c r="H1603" s="4">
        <f>[1]Source!AV1442</f>
        <v>1</v>
      </c>
      <c r="I1603" s="4">
        <f>IF([1]Source!BA1442&lt;&gt; 0, [1]Source!BA1442, 1)</f>
        <v>1</v>
      </c>
      <c r="J1603" s="33">
        <f>[1]Source!S1442</f>
        <v>60567</v>
      </c>
      <c r="K1603" s="33"/>
      <c r="M1603"/>
      <c r="N1603"/>
      <c r="O1603"/>
      <c r="P1603"/>
      <c r="Q1603"/>
    </row>
    <row r="1604" spans="1:33" ht="14.25" x14ac:dyDescent="0.2">
      <c r="A1604" s="31"/>
      <c r="B1604" s="31"/>
      <c r="C1604" s="31" t="s">
        <v>40</v>
      </c>
      <c r="D1604" s="32" t="s">
        <v>39</v>
      </c>
      <c r="E1604" s="4">
        <f>[1]Source!AT1442</f>
        <v>70</v>
      </c>
      <c r="F1604" s="33"/>
      <c r="G1604" s="34"/>
      <c r="H1604" s="4"/>
      <c r="I1604" s="4"/>
      <c r="J1604" s="33">
        <f>SUM(AC1601:AC1603)</f>
        <v>42396.9</v>
      </c>
      <c r="K1604" s="33"/>
      <c r="M1604"/>
      <c r="N1604"/>
      <c r="O1604"/>
      <c r="P1604"/>
      <c r="Q1604"/>
    </row>
    <row r="1605" spans="1:33" ht="14.25" x14ac:dyDescent="0.2">
      <c r="A1605" s="31"/>
      <c r="B1605" s="31"/>
      <c r="C1605" s="31" t="s">
        <v>41</v>
      </c>
      <c r="D1605" s="32" t="s">
        <v>39</v>
      </c>
      <c r="E1605" s="4">
        <f>[1]Source!AU1442</f>
        <v>10</v>
      </c>
      <c r="F1605" s="33"/>
      <c r="G1605" s="34"/>
      <c r="H1605" s="4"/>
      <c r="I1605" s="4"/>
      <c r="J1605" s="33">
        <f>SUM(AE1601:AE1604)</f>
        <v>6056.7</v>
      </c>
      <c r="K1605" s="33"/>
      <c r="M1605"/>
      <c r="N1605"/>
      <c r="O1605"/>
      <c r="P1605"/>
      <c r="Q1605"/>
    </row>
    <row r="1606" spans="1:33" ht="14.25" x14ac:dyDescent="0.2">
      <c r="A1606" s="31"/>
      <c r="B1606" s="31"/>
      <c r="C1606" s="31" t="s">
        <v>42</v>
      </c>
      <c r="D1606" s="32" t="s">
        <v>43</v>
      </c>
      <c r="E1606" s="4">
        <f>[1]Source!AQ1442</f>
        <v>3.36</v>
      </c>
      <c r="F1606" s="33"/>
      <c r="G1606" s="34" t="str">
        <f>[1]Source!DI1442</f>
        <v>)*1*10</v>
      </c>
      <c r="H1606" s="4">
        <f>[1]Source!AV1442</f>
        <v>1</v>
      </c>
      <c r="I1606" s="4"/>
      <c r="J1606" s="33"/>
      <c r="K1606" s="33">
        <f>[1]Source!U1442</f>
        <v>218.4</v>
      </c>
      <c r="M1606"/>
      <c r="N1606"/>
      <c r="O1606"/>
      <c r="P1606"/>
      <c r="Q1606"/>
    </row>
    <row r="1607" spans="1:33" ht="15" x14ac:dyDescent="0.25">
      <c r="A1607" s="35"/>
      <c r="B1607" s="35"/>
      <c r="C1607" s="35"/>
      <c r="D1607" s="35"/>
      <c r="E1607" s="35"/>
      <c r="F1607" s="35"/>
      <c r="G1607" s="35"/>
      <c r="H1607" s="35"/>
      <c r="I1607" s="36">
        <f>J1603+J1604+J1605</f>
        <v>109020.59999999999</v>
      </c>
      <c r="J1607" s="36"/>
      <c r="K1607" s="37">
        <f>IF([1]Source!I1442&lt;&gt;0, ROUND(I1607/[1]Source!I1442, 2), 0)</f>
        <v>16772.400000000001</v>
      </c>
      <c r="M1607"/>
      <c r="N1607"/>
      <c r="O1607"/>
      <c r="P1607"/>
      <c r="Q1607"/>
      <c r="AA1607" s="38">
        <f>I1607</f>
        <v>109020.59999999999</v>
      </c>
    </row>
    <row r="1608" spans="1:33" ht="57" x14ac:dyDescent="0.2">
      <c r="A1608" s="31">
        <v>228</v>
      </c>
      <c r="B1608" s="31" t="str">
        <f>[1]Source!F1443</f>
        <v>5.3-1102-27-2/1</v>
      </c>
      <c r="C1608" s="31" t="str">
        <f>[1]Source!G1443</f>
        <v>Очистка лотков с решетками от наледи, добавлять к 3-1102-27-1 на каждые 100 см2 изменения сечения лотка</v>
      </c>
      <c r="D1608" s="32" t="str">
        <f>[1]Source!H1443</f>
        <v>10 м</v>
      </c>
      <c r="E1608" s="4">
        <f>[1]Source!I1443</f>
        <v>6.5</v>
      </c>
      <c r="F1608" s="33"/>
      <c r="G1608" s="34"/>
      <c r="H1608" s="4"/>
      <c r="I1608" s="4"/>
      <c r="J1608" s="33"/>
      <c r="K1608" s="33"/>
      <c r="M1608"/>
      <c r="N1608"/>
      <c r="O1608"/>
      <c r="P1608"/>
      <c r="Q1608"/>
      <c r="AB1608">
        <f>ROUND(([1]Source!BZ1443/100)*ROUND(([1]Source!AF1443*[1]Source!AV1443)*[1]Source!I1443, 2), 2)</f>
        <v>29980.31</v>
      </c>
      <c r="AC1608">
        <f>[1]Source!X1443</f>
        <v>29980.31</v>
      </c>
      <c r="AD1608">
        <f>ROUND(([1]Source!CA1443/100)*ROUND(([1]Source!AF1443*[1]Source!AV1443)*[1]Source!I1443, 2), 2)</f>
        <v>4282.8999999999996</v>
      </c>
      <c r="AE1608">
        <f>[1]Source!Y1443</f>
        <v>4282.8999999999996</v>
      </c>
      <c r="AF1608">
        <f>ROUND((175/100)*ROUND(([1]Source!AE1443*[1]Source!AV1443)*[1]Source!I1443, 2), 2)</f>
        <v>0</v>
      </c>
      <c r="AG1608">
        <f>ROUND((108/100)*ROUND([1]Source!CS1443*[1]Source!I1443, 2), 2)</f>
        <v>0</v>
      </c>
    </row>
    <row r="1609" spans="1:33" x14ac:dyDescent="0.2">
      <c r="C1609" s="40" t="str">
        <f>"Объем: "&amp;[1]Source!I1443&amp;"=65/"&amp;"10"</f>
        <v>Объем: 6,5=65/10</v>
      </c>
      <c r="M1609"/>
      <c r="N1609"/>
      <c r="O1609"/>
      <c r="P1609"/>
      <c r="Q1609"/>
    </row>
    <row r="1610" spans="1:33" ht="14.25" x14ac:dyDescent="0.2">
      <c r="A1610" s="31"/>
      <c r="B1610" s="31"/>
      <c r="C1610" s="31" t="s">
        <v>34</v>
      </c>
      <c r="D1610" s="32"/>
      <c r="E1610" s="4"/>
      <c r="F1610" s="33">
        <f>[1]Source!AO1443</f>
        <v>366.06</v>
      </c>
      <c r="G1610" s="34" t="str">
        <f>[1]Source!DG1443</f>
        <v>)*1*1,8*10</v>
      </c>
      <c r="H1610" s="4">
        <f>[1]Source!AV1443</f>
        <v>1</v>
      </c>
      <c r="I1610" s="4">
        <f>IF([1]Source!BA1443&lt;&gt; 0, [1]Source!BA1443, 1)</f>
        <v>1</v>
      </c>
      <c r="J1610" s="33">
        <f>[1]Source!S1443</f>
        <v>42829.02</v>
      </c>
      <c r="K1610" s="33"/>
      <c r="M1610"/>
      <c r="N1610"/>
      <c r="O1610"/>
      <c r="P1610"/>
      <c r="Q1610"/>
    </row>
    <row r="1611" spans="1:33" ht="14.25" x14ac:dyDescent="0.2">
      <c r="A1611" s="31"/>
      <c r="B1611" s="31"/>
      <c r="C1611" s="31" t="s">
        <v>40</v>
      </c>
      <c r="D1611" s="32" t="s">
        <v>39</v>
      </c>
      <c r="E1611" s="4">
        <f>[1]Source!AT1443</f>
        <v>70</v>
      </c>
      <c r="F1611" s="33"/>
      <c r="G1611" s="34"/>
      <c r="H1611" s="4"/>
      <c r="I1611" s="4"/>
      <c r="J1611" s="33">
        <f>SUM(AC1608:AC1610)</f>
        <v>29980.31</v>
      </c>
      <c r="K1611" s="33"/>
      <c r="M1611"/>
      <c r="N1611"/>
      <c r="O1611"/>
      <c r="P1611"/>
      <c r="Q1611"/>
    </row>
    <row r="1612" spans="1:33" ht="14.25" x14ac:dyDescent="0.2">
      <c r="A1612" s="31"/>
      <c r="B1612" s="31"/>
      <c r="C1612" s="31" t="s">
        <v>41</v>
      </c>
      <c r="D1612" s="32" t="s">
        <v>39</v>
      </c>
      <c r="E1612" s="4">
        <f>[1]Source!AU1443</f>
        <v>10</v>
      </c>
      <c r="F1612" s="33"/>
      <c r="G1612" s="34"/>
      <c r="H1612" s="4"/>
      <c r="I1612" s="4"/>
      <c r="J1612" s="33">
        <f>SUM(AE1608:AE1611)</f>
        <v>4282.8999999999996</v>
      </c>
      <c r="K1612" s="33"/>
      <c r="M1612"/>
      <c r="N1612"/>
      <c r="O1612"/>
      <c r="P1612"/>
      <c r="Q1612"/>
    </row>
    <row r="1613" spans="1:33" ht="14.25" x14ac:dyDescent="0.2">
      <c r="A1613" s="31"/>
      <c r="B1613" s="31"/>
      <c r="C1613" s="31" t="s">
        <v>42</v>
      </c>
      <c r="D1613" s="32" t="s">
        <v>43</v>
      </c>
      <c r="E1613" s="4">
        <f>[1]Source!AQ1443</f>
        <v>1.32</v>
      </c>
      <c r="F1613" s="33"/>
      <c r="G1613" s="34" t="str">
        <f>[1]Source!DI1443</f>
        <v>)*1*1,8*10</v>
      </c>
      <c r="H1613" s="4">
        <f>[1]Source!AV1443</f>
        <v>1</v>
      </c>
      <c r="I1613" s="4"/>
      <c r="J1613" s="33"/>
      <c r="K1613" s="33">
        <f>[1]Source!U1443</f>
        <v>154.44000000000003</v>
      </c>
      <c r="M1613"/>
      <c r="N1613"/>
      <c r="O1613"/>
      <c r="P1613"/>
      <c r="Q1613"/>
    </row>
    <row r="1614" spans="1:33" ht="15" x14ac:dyDescent="0.25">
      <c r="A1614" s="35"/>
      <c r="B1614" s="35"/>
      <c r="C1614" s="35"/>
      <c r="D1614" s="35"/>
      <c r="E1614" s="35"/>
      <c r="F1614" s="35"/>
      <c r="G1614" s="35"/>
      <c r="H1614" s="35"/>
      <c r="I1614" s="36">
        <f>J1610+J1611+J1612</f>
        <v>77092.23</v>
      </c>
      <c r="J1614" s="36"/>
      <c r="K1614" s="37">
        <f>IF([1]Source!I1443&lt;&gt;0, ROUND(I1614/[1]Source!I1443, 2), 0)</f>
        <v>11860.34</v>
      </c>
      <c r="M1614"/>
      <c r="N1614"/>
      <c r="O1614"/>
      <c r="P1614"/>
      <c r="Q1614"/>
      <c r="AA1614" s="38">
        <f>I1614</f>
        <v>77092.23</v>
      </c>
    </row>
    <row r="1615" spans="1:33" ht="57" x14ac:dyDescent="0.2">
      <c r="A1615" s="31">
        <v>229</v>
      </c>
      <c r="B1615" s="31" t="str">
        <f>[1]Source!F1444</f>
        <v>5.3-1102-27-1/1</v>
      </c>
      <c r="C1615" s="31" t="str">
        <f>[1]Source!G1444</f>
        <v>Очистка лотков с решетками от наледи, сечение лотка 100 см2, количество креплений решеток 20 шт.( сечение 287,5 см2)</v>
      </c>
      <c r="D1615" s="32" t="str">
        <f>[1]Source!H1444</f>
        <v>10 м</v>
      </c>
      <c r="E1615" s="4">
        <f>[1]Source!I1444</f>
        <v>12.215999999999999</v>
      </c>
      <c r="F1615" s="33"/>
      <c r="G1615" s="34"/>
      <c r="H1615" s="4"/>
      <c r="I1615" s="4"/>
      <c r="J1615" s="33"/>
      <c r="K1615" s="33"/>
      <c r="M1615"/>
      <c r="N1615"/>
      <c r="O1615"/>
      <c r="P1615"/>
      <c r="Q1615"/>
      <c r="AB1615">
        <f>ROUND(([1]Source!BZ1444/100)*ROUND(([1]Source!AF1444*[1]Source!AV1444)*[1]Source!I1444, 2), 2)</f>
        <v>79680.08</v>
      </c>
      <c r="AC1615">
        <f>[1]Source!X1444</f>
        <v>79680.08</v>
      </c>
      <c r="AD1615">
        <f>ROUND(([1]Source!CA1444/100)*ROUND(([1]Source!AF1444*[1]Source!AV1444)*[1]Source!I1444, 2), 2)</f>
        <v>11382.87</v>
      </c>
      <c r="AE1615">
        <f>[1]Source!Y1444</f>
        <v>11382.87</v>
      </c>
      <c r="AF1615">
        <f>ROUND((175/100)*ROUND(([1]Source!AE1444*[1]Source!AV1444)*[1]Source!I1444, 2), 2)</f>
        <v>0</v>
      </c>
      <c r="AG1615">
        <f>ROUND((108/100)*ROUND([1]Source!CS1444*[1]Source!I1444, 2), 2)</f>
        <v>0</v>
      </c>
    </row>
    <row r="1616" spans="1:33" x14ac:dyDescent="0.2">
      <c r="C1616" s="40" t="str">
        <f>"Объем: "&amp;[1]Source!I1444&amp;"=122,16/"&amp;"10"</f>
        <v>Объем: 12,216=122,16/10</v>
      </c>
      <c r="M1616"/>
      <c r="N1616"/>
      <c r="O1616"/>
      <c r="P1616"/>
      <c r="Q1616"/>
    </row>
    <row r="1617" spans="1:33" ht="14.25" x14ac:dyDescent="0.2">
      <c r="A1617" s="31"/>
      <c r="B1617" s="31"/>
      <c r="C1617" s="31" t="s">
        <v>34</v>
      </c>
      <c r="D1617" s="32"/>
      <c r="E1617" s="4"/>
      <c r="F1617" s="33">
        <f>[1]Source!AO1444</f>
        <v>931.8</v>
      </c>
      <c r="G1617" s="34" t="str">
        <f>[1]Source!DG1444</f>
        <v>)*1*10</v>
      </c>
      <c r="H1617" s="4">
        <f>[1]Source!AV1444</f>
        <v>1</v>
      </c>
      <c r="I1617" s="4">
        <f>IF([1]Source!BA1444&lt;&gt; 0, [1]Source!BA1444, 1)</f>
        <v>1</v>
      </c>
      <c r="J1617" s="33">
        <f>[1]Source!S1444</f>
        <v>113828.69</v>
      </c>
      <c r="K1617" s="33"/>
      <c r="M1617"/>
      <c r="N1617"/>
      <c r="O1617"/>
      <c r="P1617"/>
      <c r="Q1617"/>
    </row>
    <row r="1618" spans="1:33" ht="14.25" x14ac:dyDescent="0.2">
      <c r="A1618" s="31"/>
      <c r="B1618" s="31"/>
      <c r="C1618" s="31" t="s">
        <v>40</v>
      </c>
      <c r="D1618" s="32" t="s">
        <v>39</v>
      </c>
      <c r="E1618" s="4">
        <f>[1]Source!AT1444</f>
        <v>70</v>
      </c>
      <c r="F1618" s="33"/>
      <c r="G1618" s="34"/>
      <c r="H1618" s="4"/>
      <c r="I1618" s="4"/>
      <c r="J1618" s="33">
        <f>SUM(AC1615:AC1617)</f>
        <v>79680.08</v>
      </c>
      <c r="K1618" s="33"/>
      <c r="M1618"/>
      <c r="N1618"/>
      <c r="O1618"/>
      <c r="P1618"/>
      <c r="Q1618"/>
    </row>
    <row r="1619" spans="1:33" ht="14.25" x14ac:dyDescent="0.2">
      <c r="A1619" s="31"/>
      <c r="B1619" s="31"/>
      <c r="C1619" s="31" t="s">
        <v>41</v>
      </c>
      <c r="D1619" s="32" t="s">
        <v>39</v>
      </c>
      <c r="E1619" s="4">
        <f>[1]Source!AU1444</f>
        <v>10</v>
      </c>
      <c r="F1619" s="33"/>
      <c r="G1619" s="34"/>
      <c r="H1619" s="4"/>
      <c r="I1619" s="4"/>
      <c r="J1619" s="33">
        <f>SUM(AE1615:AE1618)</f>
        <v>11382.87</v>
      </c>
      <c r="K1619" s="33"/>
      <c r="M1619"/>
      <c r="N1619"/>
      <c r="O1619"/>
      <c r="P1619"/>
      <c r="Q1619"/>
    </row>
    <row r="1620" spans="1:33" ht="14.25" x14ac:dyDescent="0.2">
      <c r="A1620" s="31"/>
      <c r="B1620" s="31"/>
      <c r="C1620" s="31" t="s">
        <v>42</v>
      </c>
      <c r="D1620" s="32" t="s">
        <v>43</v>
      </c>
      <c r="E1620" s="4">
        <f>[1]Source!AQ1444</f>
        <v>3.36</v>
      </c>
      <c r="F1620" s="33"/>
      <c r="G1620" s="34" t="str">
        <f>[1]Source!DI1444</f>
        <v>)*1*10</v>
      </c>
      <c r="H1620" s="4">
        <f>[1]Source!AV1444</f>
        <v>1</v>
      </c>
      <c r="I1620" s="4"/>
      <c r="J1620" s="33"/>
      <c r="K1620" s="33">
        <f>[1]Source!U1444</f>
        <v>410.45760000000001</v>
      </c>
      <c r="M1620"/>
      <c r="N1620"/>
      <c r="O1620"/>
      <c r="P1620"/>
      <c r="Q1620"/>
    </row>
    <row r="1621" spans="1:33" ht="15" x14ac:dyDescent="0.25">
      <c r="A1621" s="35"/>
      <c r="B1621" s="35"/>
      <c r="C1621" s="35"/>
      <c r="D1621" s="35"/>
      <c r="E1621" s="35"/>
      <c r="F1621" s="35"/>
      <c r="G1621" s="35"/>
      <c r="H1621" s="35"/>
      <c r="I1621" s="36">
        <f>J1617+J1618+J1619</f>
        <v>204891.64</v>
      </c>
      <c r="J1621" s="36"/>
      <c r="K1621" s="37">
        <f>IF([1]Source!I1444&lt;&gt;0, ROUND(I1621/[1]Source!I1444, 2), 0)</f>
        <v>16772.400000000001</v>
      </c>
      <c r="M1621"/>
      <c r="N1621"/>
      <c r="O1621"/>
      <c r="P1621"/>
      <c r="Q1621"/>
      <c r="AA1621" s="38">
        <f>I1621</f>
        <v>204891.64</v>
      </c>
    </row>
    <row r="1622" spans="1:33" ht="57" x14ac:dyDescent="0.2">
      <c r="A1622" s="31">
        <v>230</v>
      </c>
      <c r="B1622" s="31" t="str">
        <f>[1]Source!F1445</f>
        <v>5.3-1102-27-2/1</v>
      </c>
      <c r="C1622" s="31" t="str">
        <f>[1]Source!G1445</f>
        <v>Очистка лотков с решетками от наледи, добавлять к 3-1102-27-1 на каждые 100 см2 изменения сечения лотка</v>
      </c>
      <c r="D1622" s="32" t="str">
        <f>[1]Source!H1445</f>
        <v>10 м</v>
      </c>
      <c r="E1622" s="4">
        <f>[1]Source!I1445</f>
        <v>12.215999999999999</v>
      </c>
      <c r="F1622" s="33"/>
      <c r="G1622" s="34"/>
      <c r="H1622" s="4"/>
      <c r="I1622" s="4"/>
      <c r="J1622" s="33"/>
      <c r="K1622" s="33"/>
      <c r="M1622"/>
      <c r="N1622"/>
      <c r="O1622"/>
      <c r="P1622"/>
      <c r="Q1622"/>
      <c r="AB1622">
        <f>ROUND(([1]Source!BZ1445/100)*ROUND(([1]Source!AF1445*[1]Source!AV1445)*[1]Source!I1445, 2), 2)</f>
        <v>58692.23</v>
      </c>
      <c r="AC1622">
        <f>[1]Source!X1445</f>
        <v>58692.23</v>
      </c>
      <c r="AD1622">
        <f>ROUND(([1]Source!CA1445/100)*ROUND(([1]Source!AF1445*[1]Source!AV1445)*[1]Source!I1445, 2), 2)</f>
        <v>8384.6</v>
      </c>
      <c r="AE1622">
        <f>[1]Source!Y1445</f>
        <v>8384.6</v>
      </c>
      <c r="AF1622">
        <f>ROUND((175/100)*ROUND(([1]Source!AE1445*[1]Source!AV1445)*[1]Source!I1445, 2), 2)</f>
        <v>0</v>
      </c>
      <c r="AG1622">
        <f>ROUND((108/100)*ROUND([1]Source!CS1445*[1]Source!I1445, 2), 2)</f>
        <v>0</v>
      </c>
    </row>
    <row r="1623" spans="1:33" x14ac:dyDescent="0.2">
      <c r="C1623" s="40" t="str">
        <f>"Объем: "&amp;[1]Source!I1445&amp;"=122,16/"&amp;"10"</f>
        <v>Объем: 12,216=122,16/10</v>
      </c>
      <c r="M1623"/>
      <c r="N1623"/>
      <c r="O1623"/>
      <c r="P1623"/>
      <c r="Q1623"/>
    </row>
    <row r="1624" spans="1:33" ht="28.5" x14ac:dyDescent="0.2">
      <c r="A1624" s="31"/>
      <c r="B1624" s="31"/>
      <c r="C1624" s="31" t="s">
        <v>34</v>
      </c>
      <c r="D1624" s="32"/>
      <c r="E1624" s="4"/>
      <c r="F1624" s="33">
        <f>[1]Source!AO1445</f>
        <v>366.06</v>
      </c>
      <c r="G1624" s="34" t="str">
        <f>[1]Source!DG1445</f>
        <v>)*1*1,875*10</v>
      </c>
      <c r="H1624" s="4">
        <f>[1]Source!AV1445</f>
        <v>1</v>
      </c>
      <c r="I1624" s="4">
        <f>IF([1]Source!BA1445&lt;&gt; 0, [1]Source!BA1445, 1)</f>
        <v>1</v>
      </c>
      <c r="J1624" s="33">
        <f>[1]Source!S1445</f>
        <v>83846.039999999994</v>
      </c>
      <c r="K1624" s="33"/>
      <c r="M1624"/>
      <c r="N1624"/>
      <c r="O1624"/>
      <c r="P1624"/>
      <c r="Q1624"/>
    </row>
    <row r="1625" spans="1:33" ht="14.25" x14ac:dyDescent="0.2">
      <c r="A1625" s="31"/>
      <c r="B1625" s="31"/>
      <c r="C1625" s="31" t="s">
        <v>40</v>
      </c>
      <c r="D1625" s="32" t="s">
        <v>39</v>
      </c>
      <c r="E1625" s="4">
        <f>[1]Source!AT1445</f>
        <v>70</v>
      </c>
      <c r="F1625" s="33"/>
      <c r="G1625" s="34"/>
      <c r="H1625" s="4"/>
      <c r="I1625" s="4"/>
      <c r="J1625" s="33">
        <f>SUM(AC1622:AC1624)</f>
        <v>58692.23</v>
      </c>
      <c r="K1625" s="33"/>
      <c r="M1625"/>
      <c r="N1625"/>
      <c r="O1625"/>
      <c r="P1625"/>
      <c r="Q1625"/>
    </row>
    <row r="1626" spans="1:33" ht="14.25" x14ac:dyDescent="0.2">
      <c r="A1626" s="31"/>
      <c r="B1626" s="31"/>
      <c r="C1626" s="31" t="s">
        <v>41</v>
      </c>
      <c r="D1626" s="32" t="s">
        <v>39</v>
      </c>
      <c r="E1626" s="4">
        <f>[1]Source!AU1445</f>
        <v>10</v>
      </c>
      <c r="F1626" s="33"/>
      <c r="G1626" s="34"/>
      <c r="H1626" s="4"/>
      <c r="I1626" s="4"/>
      <c r="J1626" s="33">
        <f>SUM(AE1622:AE1625)</f>
        <v>8384.6</v>
      </c>
      <c r="K1626" s="33"/>
      <c r="M1626"/>
      <c r="N1626"/>
      <c r="O1626"/>
      <c r="P1626"/>
      <c r="Q1626"/>
    </row>
    <row r="1627" spans="1:33" ht="28.5" x14ac:dyDescent="0.2">
      <c r="A1627" s="31"/>
      <c r="B1627" s="31"/>
      <c r="C1627" s="31" t="s">
        <v>42</v>
      </c>
      <c r="D1627" s="32" t="s">
        <v>43</v>
      </c>
      <c r="E1627" s="4">
        <f>[1]Source!AQ1445</f>
        <v>1.32</v>
      </c>
      <c r="F1627" s="33"/>
      <c r="G1627" s="34" t="str">
        <f>[1]Source!DI1445</f>
        <v>)*1*1,875*10</v>
      </c>
      <c r="H1627" s="4">
        <f>[1]Source!AV1445</f>
        <v>1</v>
      </c>
      <c r="I1627" s="4"/>
      <c r="J1627" s="33"/>
      <c r="K1627" s="33">
        <f>[1]Source!U1445</f>
        <v>302.346</v>
      </c>
      <c r="M1627"/>
      <c r="N1627"/>
      <c r="O1627"/>
      <c r="P1627"/>
      <c r="Q1627"/>
    </row>
    <row r="1628" spans="1:33" ht="15" x14ac:dyDescent="0.25">
      <c r="A1628" s="35"/>
      <c r="B1628" s="35"/>
      <c r="C1628" s="35"/>
      <c r="D1628" s="35"/>
      <c r="E1628" s="35"/>
      <c r="F1628" s="35"/>
      <c r="G1628" s="35"/>
      <c r="H1628" s="35"/>
      <c r="I1628" s="36">
        <f>J1624+J1625+J1626</f>
        <v>150922.87</v>
      </c>
      <c r="J1628" s="36"/>
      <c r="K1628" s="37">
        <f>IF([1]Source!I1445&lt;&gt;0, ROUND(I1628/[1]Source!I1445, 2), 0)</f>
        <v>12354.52</v>
      </c>
      <c r="M1628"/>
      <c r="N1628"/>
      <c r="O1628"/>
      <c r="P1628"/>
      <c r="Q1628"/>
      <c r="AA1628" s="38">
        <f>I1628</f>
        <v>150922.87</v>
      </c>
    </row>
    <row r="1629" spans="1:33" ht="57" x14ac:dyDescent="0.2">
      <c r="A1629" s="31">
        <v>231</v>
      </c>
      <c r="B1629" s="31" t="str">
        <f>[1]Source!F1446</f>
        <v>5.3-1102-27-1/1</v>
      </c>
      <c r="C1629" s="31" t="str">
        <f>[1]Source!G1446</f>
        <v>Очистка лотков с решетками от наледи, сечение лотка 100 см2, количество креплений решеток 20 шт.( сечение 300 см2)</v>
      </c>
      <c r="D1629" s="32" t="str">
        <f>[1]Source!H1446</f>
        <v>10 м</v>
      </c>
      <c r="E1629" s="4">
        <f>[1]Source!I1446</f>
        <v>24.039000000000001</v>
      </c>
      <c r="F1629" s="33"/>
      <c r="G1629" s="34"/>
      <c r="H1629" s="4"/>
      <c r="I1629" s="4"/>
      <c r="J1629" s="33"/>
      <c r="K1629" s="33"/>
      <c r="M1629"/>
      <c r="N1629"/>
      <c r="O1629"/>
      <c r="P1629"/>
      <c r="Q1629"/>
      <c r="AB1629">
        <f>ROUND(([1]Source!BZ1446/100)*ROUND(([1]Source!AF1446*[1]Source!AV1446)*[1]Source!I1446, 2), 2)</f>
        <v>156796.78</v>
      </c>
      <c r="AC1629">
        <f>[1]Source!X1446</f>
        <v>156796.78</v>
      </c>
      <c r="AD1629">
        <f>ROUND(([1]Source!CA1446/100)*ROUND(([1]Source!AF1446*[1]Source!AV1446)*[1]Source!I1446, 2), 2)</f>
        <v>22399.54</v>
      </c>
      <c r="AE1629">
        <f>[1]Source!Y1446</f>
        <v>22399.54</v>
      </c>
      <c r="AF1629">
        <f>ROUND((175/100)*ROUND(([1]Source!AE1446*[1]Source!AV1446)*[1]Source!I1446, 2), 2)</f>
        <v>0</v>
      </c>
      <c r="AG1629">
        <f>ROUND((108/100)*ROUND([1]Source!CS1446*[1]Source!I1446, 2), 2)</f>
        <v>0</v>
      </c>
    </row>
    <row r="1630" spans="1:33" x14ac:dyDescent="0.2">
      <c r="C1630" s="40" t="str">
        <f>"Объем: "&amp;[1]Source!I1446&amp;"=240,39/"&amp;"10"</f>
        <v>Объем: 24,039=240,39/10</v>
      </c>
      <c r="M1630"/>
      <c r="N1630"/>
      <c r="O1630"/>
      <c r="P1630"/>
      <c r="Q1630"/>
    </row>
    <row r="1631" spans="1:33" ht="14.25" x14ac:dyDescent="0.2">
      <c r="A1631" s="31"/>
      <c r="B1631" s="31"/>
      <c r="C1631" s="31" t="s">
        <v>34</v>
      </c>
      <c r="D1631" s="32"/>
      <c r="E1631" s="4"/>
      <c r="F1631" s="33">
        <f>[1]Source!AO1446</f>
        <v>931.8</v>
      </c>
      <c r="G1631" s="34" t="str">
        <f>[1]Source!DG1446</f>
        <v>)*1*10</v>
      </c>
      <c r="H1631" s="4">
        <f>[1]Source!AV1446</f>
        <v>1</v>
      </c>
      <c r="I1631" s="4">
        <f>IF([1]Source!BA1446&lt;&gt; 0, [1]Source!BA1446, 1)</f>
        <v>1</v>
      </c>
      <c r="J1631" s="33">
        <f>[1]Source!S1446</f>
        <v>223995.4</v>
      </c>
      <c r="K1631" s="33"/>
      <c r="M1631"/>
      <c r="N1631"/>
      <c r="O1631"/>
      <c r="P1631"/>
      <c r="Q1631"/>
    </row>
    <row r="1632" spans="1:33" ht="14.25" x14ac:dyDescent="0.2">
      <c r="A1632" s="31"/>
      <c r="B1632" s="31"/>
      <c r="C1632" s="31" t="s">
        <v>40</v>
      </c>
      <c r="D1632" s="32" t="s">
        <v>39</v>
      </c>
      <c r="E1632" s="4">
        <f>[1]Source!AT1446</f>
        <v>70</v>
      </c>
      <c r="F1632" s="33"/>
      <c r="G1632" s="34"/>
      <c r="H1632" s="4"/>
      <c r="I1632" s="4"/>
      <c r="J1632" s="33">
        <f>SUM(AC1629:AC1631)</f>
        <v>156796.78</v>
      </c>
      <c r="K1632" s="33"/>
      <c r="M1632"/>
      <c r="N1632"/>
      <c r="O1632"/>
      <c r="P1632"/>
      <c r="Q1632"/>
    </row>
    <row r="1633" spans="1:33" ht="14.25" x14ac:dyDescent="0.2">
      <c r="A1633" s="31"/>
      <c r="B1633" s="31"/>
      <c r="C1633" s="31" t="s">
        <v>41</v>
      </c>
      <c r="D1633" s="32" t="s">
        <v>39</v>
      </c>
      <c r="E1633" s="4">
        <f>[1]Source!AU1446</f>
        <v>10</v>
      </c>
      <c r="F1633" s="33"/>
      <c r="G1633" s="34"/>
      <c r="H1633" s="4"/>
      <c r="I1633" s="4"/>
      <c r="J1633" s="33">
        <f>SUM(AE1629:AE1632)</f>
        <v>22399.54</v>
      </c>
      <c r="K1633" s="33"/>
      <c r="M1633"/>
      <c r="N1633"/>
      <c r="O1633"/>
      <c r="P1633"/>
      <c r="Q1633"/>
    </row>
    <row r="1634" spans="1:33" ht="14.25" x14ac:dyDescent="0.2">
      <c r="A1634" s="31"/>
      <c r="B1634" s="31"/>
      <c r="C1634" s="31" t="s">
        <v>42</v>
      </c>
      <c r="D1634" s="32" t="s">
        <v>43</v>
      </c>
      <c r="E1634" s="4">
        <f>[1]Source!AQ1446</f>
        <v>3.36</v>
      </c>
      <c r="F1634" s="33"/>
      <c r="G1634" s="34" t="str">
        <f>[1]Source!DI1446</f>
        <v>)*1*10</v>
      </c>
      <c r="H1634" s="4">
        <f>[1]Source!AV1446</f>
        <v>1</v>
      </c>
      <c r="I1634" s="4"/>
      <c r="J1634" s="33"/>
      <c r="K1634" s="33">
        <f>[1]Source!U1446</f>
        <v>807.71040000000005</v>
      </c>
      <c r="M1634"/>
      <c r="N1634"/>
      <c r="O1634"/>
      <c r="P1634"/>
      <c r="Q1634"/>
    </row>
    <row r="1635" spans="1:33" ht="15" x14ac:dyDescent="0.25">
      <c r="A1635" s="35"/>
      <c r="B1635" s="35"/>
      <c r="C1635" s="35"/>
      <c r="D1635" s="35"/>
      <c r="E1635" s="35"/>
      <c r="F1635" s="35"/>
      <c r="G1635" s="35"/>
      <c r="H1635" s="35"/>
      <c r="I1635" s="36">
        <f>J1631+J1632+J1633</f>
        <v>403191.72</v>
      </c>
      <c r="J1635" s="36"/>
      <c r="K1635" s="37">
        <f>IF([1]Source!I1446&lt;&gt;0, ROUND(I1635/[1]Source!I1446, 2), 0)</f>
        <v>16772.400000000001</v>
      </c>
      <c r="M1635"/>
      <c r="N1635"/>
      <c r="O1635"/>
      <c r="P1635"/>
      <c r="Q1635"/>
      <c r="AA1635" s="38">
        <f>I1635</f>
        <v>403191.72</v>
      </c>
    </row>
    <row r="1636" spans="1:33" ht="57" x14ac:dyDescent="0.2">
      <c r="A1636" s="31">
        <v>232</v>
      </c>
      <c r="B1636" s="31" t="str">
        <f>[1]Source!F1447</f>
        <v>5.3-1102-27-2/1</v>
      </c>
      <c r="C1636" s="31" t="str">
        <f>[1]Source!G1447</f>
        <v>Очистка лотков с решетками от наледи, добавлять к 3-1102-27-1 на каждые 100 см2 изменения сечения лотка</v>
      </c>
      <c r="D1636" s="32" t="str">
        <f>[1]Source!H1447</f>
        <v>10 м</v>
      </c>
      <c r="E1636" s="4">
        <f>[1]Source!I1447</f>
        <v>24.039000000000001</v>
      </c>
      <c r="F1636" s="33"/>
      <c r="G1636" s="34"/>
      <c r="H1636" s="4"/>
      <c r="I1636" s="4"/>
      <c r="J1636" s="33"/>
      <c r="K1636" s="33"/>
      <c r="M1636"/>
      <c r="N1636"/>
      <c r="O1636"/>
      <c r="P1636"/>
      <c r="Q1636"/>
      <c r="AB1636">
        <f>ROUND(([1]Source!BZ1447/100)*ROUND(([1]Source!AF1447*[1]Source!AV1447)*[1]Source!I1447, 2), 2)</f>
        <v>123196.03</v>
      </c>
      <c r="AC1636">
        <f>[1]Source!X1447</f>
        <v>123196.03</v>
      </c>
      <c r="AD1636">
        <f>ROUND(([1]Source!CA1447/100)*ROUND(([1]Source!AF1447*[1]Source!AV1447)*[1]Source!I1447, 2), 2)</f>
        <v>17599.43</v>
      </c>
      <c r="AE1636">
        <f>[1]Source!Y1447</f>
        <v>17599.43</v>
      </c>
      <c r="AF1636">
        <f>ROUND((175/100)*ROUND(([1]Source!AE1447*[1]Source!AV1447)*[1]Source!I1447, 2), 2)</f>
        <v>0</v>
      </c>
      <c r="AG1636">
        <f>ROUND((108/100)*ROUND([1]Source!CS1447*[1]Source!I1447, 2), 2)</f>
        <v>0</v>
      </c>
    </row>
    <row r="1637" spans="1:33" x14ac:dyDescent="0.2">
      <c r="C1637" s="40" t="str">
        <f>"Объем: "&amp;[1]Source!I1447&amp;"=240,39/"&amp;"10"</f>
        <v>Объем: 24,039=240,39/10</v>
      </c>
      <c r="M1637"/>
      <c r="N1637"/>
      <c r="O1637"/>
      <c r="P1637"/>
      <c r="Q1637"/>
    </row>
    <row r="1638" spans="1:33" ht="14.25" x14ac:dyDescent="0.2">
      <c r="A1638" s="31"/>
      <c r="B1638" s="31"/>
      <c r="C1638" s="31" t="s">
        <v>34</v>
      </c>
      <c r="D1638" s="32"/>
      <c r="E1638" s="4"/>
      <c r="F1638" s="33">
        <f>[1]Source!AO1447</f>
        <v>366.06</v>
      </c>
      <c r="G1638" s="34" t="str">
        <f>[1]Source!DG1447</f>
        <v>)*1*2*10</v>
      </c>
      <c r="H1638" s="4">
        <f>[1]Source!AV1447</f>
        <v>1</v>
      </c>
      <c r="I1638" s="4">
        <f>IF([1]Source!BA1447&lt;&gt; 0, [1]Source!BA1447, 1)</f>
        <v>1</v>
      </c>
      <c r="J1638" s="33">
        <f>[1]Source!S1447</f>
        <v>175994.33</v>
      </c>
      <c r="K1638" s="33"/>
      <c r="M1638"/>
      <c r="N1638"/>
      <c r="O1638"/>
      <c r="P1638"/>
      <c r="Q1638"/>
    </row>
    <row r="1639" spans="1:33" ht="14.25" x14ac:dyDescent="0.2">
      <c r="A1639" s="31"/>
      <c r="B1639" s="31"/>
      <c r="C1639" s="31" t="s">
        <v>40</v>
      </c>
      <c r="D1639" s="32" t="s">
        <v>39</v>
      </c>
      <c r="E1639" s="4">
        <f>[1]Source!AT1447</f>
        <v>70</v>
      </c>
      <c r="F1639" s="33"/>
      <c r="G1639" s="34"/>
      <c r="H1639" s="4"/>
      <c r="I1639" s="4"/>
      <c r="J1639" s="33">
        <f>SUM(AC1636:AC1638)</f>
        <v>123196.03</v>
      </c>
      <c r="K1639" s="33"/>
      <c r="M1639"/>
      <c r="N1639"/>
      <c r="O1639"/>
      <c r="P1639"/>
      <c r="Q1639"/>
    </row>
    <row r="1640" spans="1:33" ht="14.25" x14ac:dyDescent="0.2">
      <c r="A1640" s="31"/>
      <c r="B1640" s="31"/>
      <c r="C1640" s="31" t="s">
        <v>41</v>
      </c>
      <c r="D1640" s="32" t="s">
        <v>39</v>
      </c>
      <c r="E1640" s="4">
        <f>[1]Source!AU1447</f>
        <v>10</v>
      </c>
      <c r="F1640" s="33"/>
      <c r="G1640" s="34"/>
      <c r="H1640" s="4"/>
      <c r="I1640" s="4"/>
      <c r="J1640" s="33">
        <f>SUM(AE1636:AE1639)</f>
        <v>17599.43</v>
      </c>
      <c r="K1640" s="33"/>
      <c r="M1640"/>
      <c r="N1640"/>
      <c r="O1640"/>
      <c r="P1640"/>
      <c r="Q1640"/>
    </row>
    <row r="1641" spans="1:33" ht="14.25" x14ac:dyDescent="0.2">
      <c r="A1641" s="31"/>
      <c r="B1641" s="31"/>
      <c r="C1641" s="31" t="s">
        <v>42</v>
      </c>
      <c r="D1641" s="32" t="s">
        <v>43</v>
      </c>
      <c r="E1641" s="4">
        <f>[1]Source!AQ1447</f>
        <v>1.32</v>
      </c>
      <c r="F1641" s="33"/>
      <c r="G1641" s="34" t="str">
        <f>[1]Source!DI1447</f>
        <v>)*1*2*10</v>
      </c>
      <c r="H1641" s="4">
        <f>[1]Source!AV1447</f>
        <v>1</v>
      </c>
      <c r="I1641" s="4"/>
      <c r="J1641" s="33"/>
      <c r="K1641" s="33">
        <f>[1]Source!U1447</f>
        <v>634.6296000000001</v>
      </c>
      <c r="M1641"/>
      <c r="N1641"/>
      <c r="O1641"/>
      <c r="P1641"/>
      <c r="Q1641"/>
    </row>
    <row r="1642" spans="1:33" ht="15" x14ac:dyDescent="0.25">
      <c r="A1642" s="35"/>
      <c r="B1642" s="35"/>
      <c r="C1642" s="35"/>
      <c r="D1642" s="35"/>
      <c r="E1642" s="35"/>
      <c r="F1642" s="35"/>
      <c r="G1642" s="35"/>
      <c r="H1642" s="35"/>
      <c r="I1642" s="36">
        <f>J1638+J1639+J1640</f>
        <v>316789.78999999998</v>
      </c>
      <c r="J1642" s="36"/>
      <c r="K1642" s="37">
        <f>IF([1]Source!I1447&lt;&gt;0, ROUND(I1642/[1]Source!I1447, 2), 0)</f>
        <v>13178.16</v>
      </c>
      <c r="M1642"/>
      <c r="N1642"/>
      <c r="O1642"/>
      <c r="P1642"/>
      <c r="Q1642"/>
      <c r="AA1642" s="38">
        <f>I1642</f>
        <v>316789.78999999998</v>
      </c>
    </row>
    <row r="1643" spans="1:33" ht="57" x14ac:dyDescent="0.2">
      <c r="A1643" s="31">
        <v>233</v>
      </c>
      <c r="B1643" s="31" t="str">
        <f>[1]Source!F1448</f>
        <v>5.3-1102-27-1/1</v>
      </c>
      <c r="C1643" s="31" t="str">
        <f>[1]Source!G1448</f>
        <v>Очистка лотков с решетками от наледи, сечение лотка 100 см2, количество креплений решеток 20 шт.( сечение 350 см2)</v>
      </c>
      <c r="D1643" s="32" t="str">
        <f>[1]Source!H1448</f>
        <v>10 м</v>
      </c>
      <c r="E1643" s="4">
        <f>[1]Source!I1448</f>
        <v>4.4139999999999997</v>
      </c>
      <c r="F1643" s="33"/>
      <c r="G1643" s="34"/>
      <c r="H1643" s="4"/>
      <c r="I1643" s="4"/>
      <c r="J1643" s="33"/>
      <c r="K1643" s="33"/>
      <c r="M1643"/>
      <c r="N1643"/>
      <c r="O1643"/>
      <c r="P1643"/>
      <c r="Q1643"/>
      <c r="AB1643">
        <f>ROUND(([1]Source!BZ1448/100)*ROUND(([1]Source!AF1448*[1]Source!AV1448)*[1]Source!I1448, 2), 2)</f>
        <v>28790.76</v>
      </c>
      <c r="AC1643">
        <f>[1]Source!X1448</f>
        <v>28790.76</v>
      </c>
      <c r="AD1643">
        <f>ROUND(([1]Source!CA1448/100)*ROUND(([1]Source!AF1448*[1]Source!AV1448)*[1]Source!I1448, 2), 2)</f>
        <v>4112.97</v>
      </c>
      <c r="AE1643">
        <f>[1]Source!Y1448</f>
        <v>4112.97</v>
      </c>
      <c r="AF1643">
        <f>ROUND((175/100)*ROUND(([1]Source!AE1448*[1]Source!AV1448)*[1]Source!I1448, 2), 2)</f>
        <v>0</v>
      </c>
      <c r="AG1643">
        <f>ROUND((108/100)*ROUND([1]Source!CS1448*[1]Source!I1448, 2), 2)</f>
        <v>0</v>
      </c>
    </row>
    <row r="1644" spans="1:33" x14ac:dyDescent="0.2">
      <c r="C1644" s="40" t="str">
        <f>"Объем: "&amp;[1]Source!I1448&amp;"=44,14/"&amp;"10"</f>
        <v>Объем: 4,414=44,14/10</v>
      </c>
      <c r="M1644"/>
      <c r="N1644"/>
      <c r="O1644"/>
      <c r="P1644"/>
      <c r="Q1644"/>
    </row>
    <row r="1645" spans="1:33" ht="14.25" x14ac:dyDescent="0.2">
      <c r="A1645" s="31"/>
      <c r="B1645" s="31"/>
      <c r="C1645" s="31" t="s">
        <v>34</v>
      </c>
      <c r="D1645" s="32"/>
      <c r="E1645" s="4"/>
      <c r="F1645" s="33">
        <f>[1]Source!AO1448</f>
        <v>931.8</v>
      </c>
      <c r="G1645" s="34" t="str">
        <f>[1]Source!DG1448</f>
        <v>)*1*10</v>
      </c>
      <c r="H1645" s="4">
        <f>[1]Source!AV1448</f>
        <v>1</v>
      </c>
      <c r="I1645" s="4">
        <f>IF([1]Source!BA1448&lt;&gt; 0, [1]Source!BA1448, 1)</f>
        <v>1</v>
      </c>
      <c r="J1645" s="33">
        <f>[1]Source!S1448</f>
        <v>41129.65</v>
      </c>
      <c r="K1645" s="33"/>
      <c r="M1645"/>
      <c r="N1645"/>
      <c r="O1645"/>
      <c r="P1645"/>
      <c r="Q1645"/>
    </row>
    <row r="1646" spans="1:33" ht="14.25" x14ac:dyDescent="0.2">
      <c r="A1646" s="31"/>
      <c r="B1646" s="31"/>
      <c r="C1646" s="31" t="s">
        <v>40</v>
      </c>
      <c r="D1646" s="32" t="s">
        <v>39</v>
      </c>
      <c r="E1646" s="4">
        <f>[1]Source!AT1448</f>
        <v>70</v>
      </c>
      <c r="F1646" s="33"/>
      <c r="G1646" s="34"/>
      <c r="H1646" s="4"/>
      <c r="I1646" s="4"/>
      <c r="J1646" s="33">
        <f>SUM(AC1643:AC1645)</f>
        <v>28790.76</v>
      </c>
      <c r="K1646" s="33"/>
      <c r="M1646"/>
      <c r="N1646"/>
      <c r="O1646"/>
      <c r="P1646"/>
      <c r="Q1646"/>
    </row>
    <row r="1647" spans="1:33" ht="14.25" x14ac:dyDescent="0.2">
      <c r="A1647" s="31"/>
      <c r="B1647" s="31"/>
      <c r="C1647" s="31" t="s">
        <v>41</v>
      </c>
      <c r="D1647" s="32" t="s">
        <v>39</v>
      </c>
      <c r="E1647" s="4">
        <f>[1]Source!AU1448</f>
        <v>10</v>
      </c>
      <c r="F1647" s="33"/>
      <c r="G1647" s="34"/>
      <c r="H1647" s="4"/>
      <c r="I1647" s="4"/>
      <c r="J1647" s="33">
        <f>SUM(AE1643:AE1646)</f>
        <v>4112.97</v>
      </c>
      <c r="K1647" s="33"/>
      <c r="M1647"/>
      <c r="N1647"/>
      <c r="O1647"/>
      <c r="P1647"/>
      <c r="Q1647"/>
    </row>
    <row r="1648" spans="1:33" ht="14.25" x14ac:dyDescent="0.2">
      <c r="A1648" s="31"/>
      <c r="B1648" s="31"/>
      <c r="C1648" s="31" t="s">
        <v>42</v>
      </c>
      <c r="D1648" s="32" t="s">
        <v>43</v>
      </c>
      <c r="E1648" s="4">
        <f>[1]Source!AQ1448</f>
        <v>3.36</v>
      </c>
      <c r="F1648" s="33"/>
      <c r="G1648" s="34" t="str">
        <f>[1]Source!DI1448</f>
        <v>)*1*10</v>
      </c>
      <c r="H1648" s="4">
        <f>[1]Source!AV1448</f>
        <v>1</v>
      </c>
      <c r="I1648" s="4"/>
      <c r="J1648" s="33"/>
      <c r="K1648" s="33">
        <f>[1]Source!U1448</f>
        <v>148.31039999999999</v>
      </c>
      <c r="M1648"/>
      <c r="N1648"/>
      <c r="O1648"/>
      <c r="P1648"/>
      <c r="Q1648"/>
    </row>
    <row r="1649" spans="1:33" ht="15" x14ac:dyDescent="0.25">
      <c r="A1649" s="35"/>
      <c r="B1649" s="35"/>
      <c r="C1649" s="35"/>
      <c r="D1649" s="35"/>
      <c r="E1649" s="35"/>
      <c r="F1649" s="35"/>
      <c r="G1649" s="35"/>
      <c r="H1649" s="35"/>
      <c r="I1649" s="36">
        <f>J1645+J1646+J1647</f>
        <v>74033.38</v>
      </c>
      <c r="J1649" s="36"/>
      <c r="K1649" s="37">
        <f>IF([1]Source!I1448&lt;&gt;0, ROUND(I1649/[1]Source!I1448, 2), 0)</f>
        <v>16772.400000000001</v>
      </c>
      <c r="M1649"/>
      <c r="N1649"/>
      <c r="O1649"/>
      <c r="P1649"/>
      <c r="Q1649"/>
      <c r="AA1649" s="38">
        <f>I1649</f>
        <v>74033.38</v>
      </c>
    </row>
    <row r="1650" spans="1:33" ht="57" x14ac:dyDescent="0.2">
      <c r="A1650" s="31">
        <v>234</v>
      </c>
      <c r="B1650" s="31" t="str">
        <f>[1]Source!F1449</f>
        <v>5.3-1102-27-2/1</v>
      </c>
      <c r="C1650" s="31" t="str">
        <f>[1]Source!G1449</f>
        <v>Очистка лотков с решетками от наледи, добавлять к 3-1102-27-1 на каждые 100 см2 изменения сечения лотка</v>
      </c>
      <c r="D1650" s="32" t="str">
        <f>[1]Source!H1449</f>
        <v>10 м</v>
      </c>
      <c r="E1650" s="4">
        <f>[1]Source!I1449</f>
        <v>4.4139999999999997</v>
      </c>
      <c r="F1650" s="33"/>
      <c r="G1650" s="34"/>
      <c r="H1650" s="4"/>
      <c r="I1650" s="4"/>
      <c r="J1650" s="33"/>
      <c r="K1650" s="33"/>
      <c r="M1650"/>
      <c r="N1650"/>
      <c r="O1650"/>
      <c r="P1650"/>
      <c r="Q1650"/>
      <c r="AB1650">
        <f>ROUND(([1]Source!BZ1449/100)*ROUND(([1]Source!AF1449*[1]Source!AV1449)*[1]Source!I1449, 2), 2)</f>
        <v>28276.3</v>
      </c>
      <c r="AC1650">
        <f>[1]Source!X1449</f>
        <v>28276.3</v>
      </c>
      <c r="AD1650">
        <f>ROUND(([1]Source!CA1449/100)*ROUND(([1]Source!AF1449*[1]Source!AV1449)*[1]Source!I1449, 2), 2)</f>
        <v>4039.47</v>
      </c>
      <c r="AE1650">
        <f>[1]Source!Y1449</f>
        <v>4039.47</v>
      </c>
      <c r="AF1650">
        <f>ROUND((175/100)*ROUND(([1]Source!AE1449*[1]Source!AV1449)*[1]Source!I1449, 2), 2)</f>
        <v>0</v>
      </c>
      <c r="AG1650">
        <f>ROUND((108/100)*ROUND([1]Source!CS1449*[1]Source!I1449, 2), 2)</f>
        <v>0</v>
      </c>
    </row>
    <row r="1651" spans="1:33" x14ac:dyDescent="0.2">
      <c r="C1651" s="40" t="str">
        <f>"Объем: "&amp;[1]Source!I1449&amp;"=44,14/"&amp;"10"</f>
        <v>Объем: 4,414=44,14/10</v>
      </c>
      <c r="M1651"/>
      <c r="N1651"/>
      <c r="O1651"/>
      <c r="P1651"/>
      <c r="Q1651"/>
    </row>
    <row r="1652" spans="1:33" ht="14.25" x14ac:dyDescent="0.2">
      <c r="A1652" s="31"/>
      <c r="B1652" s="31"/>
      <c r="C1652" s="31" t="s">
        <v>34</v>
      </c>
      <c r="D1652" s="32"/>
      <c r="E1652" s="4"/>
      <c r="F1652" s="33">
        <f>[1]Source!AO1449</f>
        <v>366.06</v>
      </c>
      <c r="G1652" s="34" t="str">
        <f>[1]Source!DG1449</f>
        <v>)*1*2,5*10</v>
      </c>
      <c r="H1652" s="4">
        <f>[1]Source!AV1449</f>
        <v>1</v>
      </c>
      <c r="I1652" s="4">
        <f>IF([1]Source!BA1449&lt;&gt; 0, [1]Source!BA1449, 1)</f>
        <v>1</v>
      </c>
      <c r="J1652" s="33">
        <f>[1]Source!S1449</f>
        <v>40394.720000000001</v>
      </c>
      <c r="K1652" s="33"/>
      <c r="M1652"/>
      <c r="N1652"/>
      <c r="O1652"/>
      <c r="P1652"/>
      <c r="Q1652"/>
    </row>
    <row r="1653" spans="1:33" ht="14.25" x14ac:dyDescent="0.2">
      <c r="A1653" s="31"/>
      <c r="B1653" s="31"/>
      <c r="C1653" s="31" t="s">
        <v>40</v>
      </c>
      <c r="D1653" s="32" t="s">
        <v>39</v>
      </c>
      <c r="E1653" s="4">
        <f>[1]Source!AT1449</f>
        <v>70</v>
      </c>
      <c r="F1653" s="33"/>
      <c r="G1653" s="34"/>
      <c r="H1653" s="4"/>
      <c r="I1653" s="4"/>
      <c r="J1653" s="33">
        <f>SUM(AC1650:AC1652)</f>
        <v>28276.3</v>
      </c>
      <c r="K1653" s="33"/>
      <c r="M1653"/>
      <c r="N1653"/>
      <c r="O1653"/>
      <c r="P1653"/>
      <c r="Q1653"/>
    </row>
    <row r="1654" spans="1:33" ht="14.25" x14ac:dyDescent="0.2">
      <c r="A1654" s="31"/>
      <c r="B1654" s="31"/>
      <c r="C1654" s="31" t="s">
        <v>41</v>
      </c>
      <c r="D1654" s="32" t="s">
        <v>39</v>
      </c>
      <c r="E1654" s="4">
        <f>[1]Source!AU1449</f>
        <v>10</v>
      </c>
      <c r="F1654" s="33"/>
      <c r="G1654" s="34"/>
      <c r="H1654" s="4"/>
      <c r="I1654" s="4"/>
      <c r="J1654" s="33">
        <f>SUM(AE1650:AE1653)</f>
        <v>4039.47</v>
      </c>
      <c r="K1654" s="33"/>
      <c r="M1654"/>
      <c r="N1654"/>
      <c r="O1654"/>
      <c r="P1654"/>
      <c r="Q1654"/>
    </row>
    <row r="1655" spans="1:33" ht="14.25" x14ac:dyDescent="0.2">
      <c r="A1655" s="31"/>
      <c r="B1655" s="31"/>
      <c r="C1655" s="31" t="s">
        <v>42</v>
      </c>
      <c r="D1655" s="32" t="s">
        <v>43</v>
      </c>
      <c r="E1655" s="4">
        <f>[1]Source!AQ1449</f>
        <v>1.32</v>
      </c>
      <c r="F1655" s="33"/>
      <c r="G1655" s="34" t="str">
        <f>[1]Source!DI1449</f>
        <v>)*1*2,5*10</v>
      </c>
      <c r="H1655" s="4">
        <f>[1]Source!AV1449</f>
        <v>1</v>
      </c>
      <c r="I1655" s="4"/>
      <c r="J1655" s="33"/>
      <c r="K1655" s="33">
        <f>[1]Source!U1449</f>
        <v>145.66199999999998</v>
      </c>
      <c r="M1655"/>
      <c r="N1655"/>
      <c r="O1655"/>
      <c r="P1655"/>
      <c r="Q1655"/>
    </row>
    <row r="1656" spans="1:33" ht="15" x14ac:dyDescent="0.25">
      <c r="A1656" s="35"/>
      <c r="B1656" s="35"/>
      <c r="C1656" s="35"/>
      <c r="D1656" s="35"/>
      <c r="E1656" s="35"/>
      <c r="F1656" s="35"/>
      <c r="G1656" s="35"/>
      <c r="H1656" s="35"/>
      <c r="I1656" s="36">
        <f>J1652+J1653+J1654</f>
        <v>72710.490000000005</v>
      </c>
      <c r="J1656" s="36"/>
      <c r="K1656" s="37">
        <f>IF([1]Source!I1449&lt;&gt;0, ROUND(I1656/[1]Source!I1449, 2), 0)</f>
        <v>16472.7</v>
      </c>
      <c r="M1656"/>
      <c r="N1656"/>
      <c r="O1656"/>
      <c r="P1656"/>
      <c r="Q1656"/>
      <c r="AA1656" s="38">
        <f>I1656</f>
        <v>72710.490000000005</v>
      </c>
    </row>
    <row r="1657" spans="1:33" ht="57" x14ac:dyDescent="0.2">
      <c r="A1657" s="31">
        <v>235</v>
      </c>
      <c r="B1657" s="31" t="str">
        <f>[1]Source!F1450</f>
        <v>5.3-1102-27-1/1</v>
      </c>
      <c r="C1657" s="31" t="str">
        <f>[1]Source!G1450</f>
        <v>Очистка лотков с решетками от наледи, сечение лотка 100 см2, количество креплений решеток 20 шт.( сечение 400 см2)</v>
      </c>
      <c r="D1657" s="32" t="str">
        <f>[1]Source!H1450</f>
        <v>10 м</v>
      </c>
      <c r="E1657" s="4">
        <f>[1]Source!I1450</f>
        <v>9.18</v>
      </c>
      <c r="F1657" s="33"/>
      <c r="G1657" s="34"/>
      <c r="H1657" s="4"/>
      <c r="I1657" s="4"/>
      <c r="J1657" s="33"/>
      <c r="K1657" s="33"/>
      <c r="M1657"/>
      <c r="N1657"/>
      <c r="O1657"/>
      <c r="P1657"/>
      <c r="Q1657"/>
      <c r="AB1657">
        <f>ROUND(([1]Source!BZ1450/100)*ROUND(([1]Source!AF1450*[1]Source!AV1450)*[1]Source!I1450, 2), 2)</f>
        <v>59877.47</v>
      </c>
      <c r="AC1657">
        <f>[1]Source!X1450</f>
        <v>59877.47</v>
      </c>
      <c r="AD1657">
        <f>ROUND(([1]Source!CA1450/100)*ROUND(([1]Source!AF1450*[1]Source!AV1450)*[1]Source!I1450, 2), 2)</f>
        <v>8553.92</v>
      </c>
      <c r="AE1657">
        <f>[1]Source!Y1450</f>
        <v>8553.92</v>
      </c>
      <c r="AF1657">
        <f>ROUND((175/100)*ROUND(([1]Source!AE1450*[1]Source!AV1450)*[1]Source!I1450, 2), 2)</f>
        <v>0</v>
      </c>
      <c r="AG1657">
        <f>ROUND((108/100)*ROUND([1]Source!CS1450*[1]Source!I1450, 2), 2)</f>
        <v>0</v>
      </c>
    </row>
    <row r="1658" spans="1:33" x14ac:dyDescent="0.2">
      <c r="C1658" s="40" t="str">
        <f>"Объем: "&amp;[1]Source!I1450&amp;"=91,8/"&amp;"10"</f>
        <v>Объем: 9,18=91,8/10</v>
      </c>
      <c r="M1658"/>
      <c r="N1658"/>
      <c r="O1658"/>
      <c r="P1658"/>
      <c r="Q1658"/>
    </row>
    <row r="1659" spans="1:33" ht="14.25" x14ac:dyDescent="0.2">
      <c r="A1659" s="31"/>
      <c r="B1659" s="31"/>
      <c r="C1659" s="31" t="s">
        <v>34</v>
      </c>
      <c r="D1659" s="32"/>
      <c r="E1659" s="4"/>
      <c r="F1659" s="33">
        <f>[1]Source!AO1450</f>
        <v>931.8</v>
      </c>
      <c r="G1659" s="34" t="str">
        <f>[1]Source!DG1450</f>
        <v>)*1*10</v>
      </c>
      <c r="H1659" s="4">
        <f>[1]Source!AV1450</f>
        <v>1</v>
      </c>
      <c r="I1659" s="4">
        <f>IF([1]Source!BA1450&lt;&gt; 0, [1]Source!BA1450, 1)</f>
        <v>1</v>
      </c>
      <c r="J1659" s="33">
        <f>[1]Source!S1450</f>
        <v>85539.24</v>
      </c>
      <c r="K1659" s="33"/>
      <c r="M1659"/>
      <c r="N1659"/>
      <c r="O1659"/>
      <c r="P1659"/>
      <c r="Q1659"/>
    </row>
    <row r="1660" spans="1:33" ht="14.25" x14ac:dyDescent="0.2">
      <c r="A1660" s="31"/>
      <c r="B1660" s="31"/>
      <c r="C1660" s="31" t="s">
        <v>40</v>
      </c>
      <c r="D1660" s="32" t="s">
        <v>39</v>
      </c>
      <c r="E1660" s="4">
        <f>[1]Source!AT1450</f>
        <v>70</v>
      </c>
      <c r="F1660" s="33"/>
      <c r="G1660" s="34"/>
      <c r="H1660" s="4"/>
      <c r="I1660" s="4"/>
      <c r="J1660" s="33">
        <f>SUM(AC1657:AC1659)</f>
        <v>59877.47</v>
      </c>
      <c r="K1660" s="33"/>
      <c r="M1660"/>
      <c r="N1660"/>
      <c r="O1660"/>
      <c r="P1660"/>
      <c r="Q1660"/>
    </row>
    <row r="1661" spans="1:33" ht="14.25" x14ac:dyDescent="0.2">
      <c r="A1661" s="31"/>
      <c r="B1661" s="31"/>
      <c r="C1661" s="31" t="s">
        <v>41</v>
      </c>
      <c r="D1661" s="32" t="s">
        <v>39</v>
      </c>
      <c r="E1661" s="4">
        <f>[1]Source!AU1450</f>
        <v>10</v>
      </c>
      <c r="F1661" s="33"/>
      <c r="G1661" s="34"/>
      <c r="H1661" s="4"/>
      <c r="I1661" s="4"/>
      <c r="J1661" s="33">
        <f>SUM(AE1657:AE1660)</f>
        <v>8553.92</v>
      </c>
      <c r="K1661" s="33"/>
      <c r="M1661"/>
      <c r="N1661"/>
      <c r="O1661"/>
      <c r="P1661"/>
      <c r="Q1661"/>
    </row>
    <row r="1662" spans="1:33" ht="14.25" x14ac:dyDescent="0.2">
      <c r="A1662" s="31"/>
      <c r="B1662" s="31"/>
      <c r="C1662" s="31" t="s">
        <v>42</v>
      </c>
      <c r="D1662" s="32" t="s">
        <v>43</v>
      </c>
      <c r="E1662" s="4">
        <f>[1]Source!AQ1450</f>
        <v>3.36</v>
      </c>
      <c r="F1662" s="33"/>
      <c r="G1662" s="34" t="str">
        <f>[1]Source!DI1450</f>
        <v>)*1*10</v>
      </c>
      <c r="H1662" s="4">
        <f>[1]Source!AV1450</f>
        <v>1</v>
      </c>
      <c r="I1662" s="4"/>
      <c r="J1662" s="33"/>
      <c r="K1662" s="33">
        <f>[1]Source!U1450</f>
        <v>308.44799999999998</v>
      </c>
      <c r="M1662"/>
      <c r="N1662"/>
      <c r="O1662"/>
      <c r="P1662"/>
      <c r="Q1662"/>
    </row>
    <row r="1663" spans="1:33" ht="15" x14ac:dyDescent="0.25">
      <c r="A1663" s="35"/>
      <c r="B1663" s="35"/>
      <c r="C1663" s="35"/>
      <c r="D1663" s="35"/>
      <c r="E1663" s="35"/>
      <c r="F1663" s="35"/>
      <c r="G1663" s="35"/>
      <c r="H1663" s="35"/>
      <c r="I1663" s="36">
        <f>J1659+J1660+J1661</f>
        <v>153970.63000000003</v>
      </c>
      <c r="J1663" s="36"/>
      <c r="K1663" s="37">
        <f>IF([1]Source!I1450&lt;&gt;0, ROUND(I1663/[1]Source!I1450, 2), 0)</f>
        <v>16772.400000000001</v>
      </c>
      <c r="M1663"/>
      <c r="N1663"/>
      <c r="O1663"/>
      <c r="P1663"/>
      <c r="Q1663"/>
      <c r="AA1663" s="38">
        <f>I1663</f>
        <v>153970.63000000003</v>
      </c>
    </row>
    <row r="1664" spans="1:33" ht="57" x14ac:dyDescent="0.2">
      <c r="A1664" s="31">
        <v>236</v>
      </c>
      <c r="B1664" s="31" t="str">
        <f>[1]Source!F1451</f>
        <v>5.3-1102-27-2/1</v>
      </c>
      <c r="C1664" s="31" t="str">
        <f>[1]Source!G1451</f>
        <v>Очистка лотков с решетками от наледи, добавлять к 3-1102-27-1 на каждые 100 см2 изменения сечения лотка</v>
      </c>
      <c r="D1664" s="32" t="str">
        <f>[1]Source!H1451</f>
        <v>10 м</v>
      </c>
      <c r="E1664" s="4">
        <f>[1]Source!I1451</f>
        <v>9.18</v>
      </c>
      <c r="F1664" s="33"/>
      <c r="G1664" s="34"/>
      <c r="H1664" s="4"/>
      <c r="I1664" s="4"/>
      <c r="J1664" s="33"/>
      <c r="K1664" s="33"/>
      <c r="M1664"/>
      <c r="N1664"/>
      <c r="O1664"/>
      <c r="P1664"/>
      <c r="Q1664"/>
      <c r="AB1664">
        <f>ROUND(([1]Source!BZ1451/100)*ROUND(([1]Source!AF1451*[1]Source!AV1451)*[1]Source!I1451, 2), 2)</f>
        <v>70569.039999999994</v>
      </c>
      <c r="AC1664">
        <f>[1]Source!X1451</f>
        <v>70569.039999999994</v>
      </c>
      <c r="AD1664">
        <f>ROUND(([1]Source!CA1451/100)*ROUND(([1]Source!AF1451*[1]Source!AV1451)*[1]Source!I1451, 2), 2)</f>
        <v>10081.290000000001</v>
      </c>
      <c r="AE1664">
        <f>[1]Source!Y1451</f>
        <v>10081.290000000001</v>
      </c>
      <c r="AF1664">
        <f>ROUND((175/100)*ROUND(([1]Source!AE1451*[1]Source!AV1451)*[1]Source!I1451, 2), 2)</f>
        <v>0</v>
      </c>
      <c r="AG1664">
        <f>ROUND((108/100)*ROUND([1]Source!CS1451*[1]Source!I1451, 2), 2)</f>
        <v>0</v>
      </c>
    </row>
    <row r="1665" spans="1:33" x14ac:dyDescent="0.2">
      <c r="C1665" s="40" t="str">
        <f>"Объем: "&amp;[1]Source!I1451&amp;"=91,8/"&amp;"10"</f>
        <v>Объем: 9,18=91,8/10</v>
      </c>
      <c r="M1665"/>
      <c r="N1665"/>
      <c r="O1665"/>
      <c r="P1665"/>
      <c r="Q1665"/>
    </row>
    <row r="1666" spans="1:33" ht="14.25" x14ac:dyDescent="0.2">
      <c r="A1666" s="31"/>
      <c r="B1666" s="31"/>
      <c r="C1666" s="31" t="s">
        <v>34</v>
      </c>
      <c r="D1666" s="32"/>
      <c r="E1666" s="4"/>
      <c r="F1666" s="33">
        <f>[1]Source!AO1451</f>
        <v>366.06</v>
      </c>
      <c r="G1666" s="34" t="str">
        <f>[1]Source!DG1451</f>
        <v>)*1*3*10</v>
      </c>
      <c r="H1666" s="4">
        <f>[1]Source!AV1451</f>
        <v>1</v>
      </c>
      <c r="I1666" s="4">
        <f>IF([1]Source!BA1451&lt;&gt; 0, [1]Source!BA1451, 1)</f>
        <v>1</v>
      </c>
      <c r="J1666" s="33">
        <f>[1]Source!S1451</f>
        <v>100812.92</v>
      </c>
      <c r="K1666" s="33"/>
      <c r="M1666"/>
      <c r="N1666"/>
      <c r="O1666"/>
      <c r="P1666"/>
      <c r="Q1666"/>
    </row>
    <row r="1667" spans="1:33" ht="14.25" x14ac:dyDescent="0.2">
      <c r="A1667" s="31"/>
      <c r="B1667" s="31"/>
      <c r="C1667" s="31" t="s">
        <v>40</v>
      </c>
      <c r="D1667" s="32" t="s">
        <v>39</v>
      </c>
      <c r="E1667" s="4">
        <f>[1]Source!AT1451</f>
        <v>70</v>
      </c>
      <c r="F1667" s="33"/>
      <c r="G1667" s="34"/>
      <c r="H1667" s="4"/>
      <c r="I1667" s="4"/>
      <c r="J1667" s="33">
        <f>SUM(AC1664:AC1666)</f>
        <v>70569.039999999994</v>
      </c>
      <c r="K1667" s="33"/>
      <c r="M1667"/>
      <c r="N1667"/>
      <c r="O1667"/>
      <c r="P1667"/>
      <c r="Q1667"/>
    </row>
    <row r="1668" spans="1:33" ht="14.25" x14ac:dyDescent="0.2">
      <c r="A1668" s="31"/>
      <c r="B1668" s="31"/>
      <c r="C1668" s="31" t="s">
        <v>41</v>
      </c>
      <c r="D1668" s="32" t="s">
        <v>39</v>
      </c>
      <c r="E1668" s="4">
        <f>[1]Source!AU1451</f>
        <v>10</v>
      </c>
      <c r="F1668" s="33"/>
      <c r="G1668" s="34"/>
      <c r="H1668" s="4"/>
      <c r="I1668" s="4"/>
      <c r="J1668" s="33">
        <f>SUM(AE1664:AE1667)</f>
        <v>10081.290000000001</v>
      </c>
      <c r="K1668" s="33"/>
      <c r="M1668"/>
      <c r="N1668"/>
      <c r="O1668"/>
      <c r="P1668"/>
      <c r="Q1668"/>
    </row>
    <row r="1669" spans="1:33" ht="14.25" x14ac:dyDescent="0.2">
      <c r="A1669" s="31"/>
      <c r="B1669" s="31"/>
      <c r="C1669" s="31" t="s">
        <v>42</v>
      </c>
      <c r="D1669" s="32" t="s">
        <v>43</v>
      </c>
      <c r="E1669" s="4">
        <f>[1]Source!AQ1451</f>
        <v>1.32</v>
      </c>
      <c r="F1669" s="33"/>
      <c r="G1669" s="34" t="str">
        <f>[1]Source!DI1451</f>
        <v>)*1*3*10</v>
      </c>
      <c r="H1669" s="4">
        <f>[1]Source!AV1451</f>
        <v>1</v>
      </c>
      <c r="I1669" s="4"/>
      <c r="J1669" s="33"/>
      <c r="K1669" s="33">
        <f>[1]Source!U1451</f>
        <v>363.52800000000002</v>
      </c>
      <c r="M1669"/>
      <c r="N1669"/>
      <c r="O1669"/>
      <c r="P1669"/>
      <c r="Q1669"/>
    </row>
    <row r="1670" spans="1:33" ht="15" x14ac:dyDescent="0.25">
      <c r="A1670" s="35"/>
      <c r="B1670" s="35"/>
      <c r="C1670" s="35"/>
      <c r="D1670" s="35"/>
      <c r="E1670" s="35"/>
      <c r="F1670" s="35"/>
      <c r="G1670" s="35"/>
      <c r="H1670" s="35"/>
      <c r="I1670" s="36">
        <f>J1666+J1667+J1668</f>
        <v>181463.25</v>
      </c>
      <c r="J1670" s="36"/>
      <c r="K1670" s="37">
        <f>IF([1]Source!I1451&lt;&gt;0, ROUND(I1670/[1]Source!I1451, 2), 0)</f>
        <v>19767.240000000002</v>
      </c>
      <c r="M1670"/>
      <c r="N1670"/>
      <c r="O1670"/>
      <c r="P1670"/>
      <c r="Q1670"/>
      <c r="AA1670" s="38">
        <f>I1670</f>
        <v>181463.25</v>
      </c>
    </row>
    <row r="1671" spans="1:33" ht="57" x14ac:dyDescent="0.2">
      <c r="A1671" s="31">
        <v>237</v>
      </c>
      <c r="B1671" s="31" t="str">
        <f>[1]Source!F1452</f>
        <v>5.3-1102-27-1/1</v>
      </c>
      <c r="C1671" s="31" t="str">
        <f>[1]Source!G1452</f>
        <v>Очистка лотков с решетками от наледи, сечение лотка 100 см2, количество креплений решеток 20 шт.( сечение 450 см2)</v>
      </c>
      <c r="D1671" s="32" t="str">
        <f>[1]Source!H1452</f>
        <v>10 м</v>
      </c>
      <c r="E1671" s="4">
        <f>[1]Source!I1452</f>
        <v>6.69</v>
      </c>
      <c r="F1671" s="33"/>
      <c r="G1671" s="34"/>
      <c r="H1671" s="4"/>
      <c r="I1671" s="4"/>
      <c r="J1671" s="33"/>
      <c r="K1671" s="33"/>
      <c r="M1671"/>
      <c r="N1671"/>
      <c r="O1671"/>
      <c r="P1671"/>
      <c r="Q1671"/>
      <c r="AB1671">
        <f>ROUND(([1]Source!BZ1452/100)*ROUND(([1]Source!AF1452*[1]Source!AV1452)*[1]Source!I1452, 2), 2)</f>
        <v>43636.19</v>
      </c>
      <c r="AC1671">
        <f>[1]Source!X1452</f>
        <v>43636.19</v>
      </c>
      <c r="AD1671">
        <f>ROUND(([1]Source!CA1452/100)*ROUND(([1]Source!AF1452*[1]Source!AV1452)*[1]Source!I1452, 2), 2)</f>
        <v>6233.74</v>
      </c>
      <c r="AE1671">
        <f>[1]Source!Y1452</f>
        <v>6233.74</v>
      </c>
      <c r="AF1671">
        <f>ROUND((175/100)*ROUND(([1]Source!AE1452*[1]Source!AV1452)*[1]Source!I1452, 2), 2)</f>
        <v>0</v>
      </c>
      <c r="AG1671">
        <f>ROUND((108/100)*ROUND([1]Source!CS1452*[1]Source!I1452, 2), 2)</f>
        <v>0</v>
      </c>
    </row>
    <row r="1672" spans="1:33" x14ac:dyDescent="0.2">
      <c r="C1672" s="40" t="str">
        <f>"Объем: "&amp;[1]Source!I1452&amp;"=66,9/"&amp;"10"</f>
        <v>Объем: 6,69=66,9/10</v>
      </c>
      <c r="M1672"/>
      <c r="N1672"/>
      <c r="O1672"/>
      <c r="P1672"/>
      <c r="Q1672"/>
    </row>
    <row r="1673" spans="1:33" ht="14.25" x14ac:dyDescent="0.2">
      <c r="A1673" s="31"/>
      <c r="B1673" s="31"/>
      <c r="C1673" s="31" t="s">
        <v>34</v>
      </c>
      <c r="D1673" s="32"/>
      <c r="E1673" s="4"/>
      <c r="F1673" s="33">
        <f>[1]Source!AO1452</f>
        <v>931.8</v>
      </c>
      <c r="G1673" s="34" t="str">
        <f>[1]Source!DG1452</f>
        <v>)*1*10</v>
      </c>
      <c r="H1673" s="4">
        <f>[1]Source!AV1452</f>
        <v>1</v>
      </c>
      <c r="I1673" s="4">
        <f>IF([1]Source!BA1452&lt;&gt; 0, [1]Source!BA1452, 1)</f>
        <v>1</v>
      </c>
      <c r="J1673" s="33">
        <f>[1]Source!S1452</f>
        <v>62337.42</v>
      </c>
      <c r="K1673" s="33"/>
      <c r="M1673"/>
      <c r="N1673"/>
      <c r="O1673"/>
      <c r="P1673"/>
      <c r="Q1673"/>
    </row>
    <row r="1674" spans="1:33" ht="14.25" x14ac:dyDescent="0.2">
      <c r="A1674" s="31"/>
      <c r="B1674" s="31"/>
      <c r="C1674" s="31" t="s">
        <v>40</v>
      </c>
      <c r="D1674" s="32" t="s">
        <v>39</v>
      </c>
      <c r="E1674" s="4">
        <f>[1]Source!AT1452</f>
        <v>70</v>
      </c>
      <c r="F1674" s="33"/>
      <c r="G1674" s="34"/>
      <c r="H1674" s="4"/>
      <c r="I1674" s="4"/>
      <c r="J1674" s="33">
        <f>SUM(AC1671:AC1673)</f>
        <v>43636.19</v>
      </c>
      <c r="K1674" s="33"/>
      <c r="M1674"/>
      <c r="N1674"/>
      <c r="O1674"/>
      <c r="P1674"/>
      <c r="Q1674"/>
    </row>
    <row r="1675" spans="1:33" ht="14.25" x14ac:dyDescent="0.2">
      <c r="A1675" s="31"/>
      <c r="B1675" s="31"/>
      <c r="C1675" s="31" t="s">
        <v>41</v>
      </c>
      <c r="D1675" s="32" t="s">
        <v>39</v>
      </c>
      <c r="E1675" s="4">
        <f>[1]Source!AU1452</f>
        <v>10</v>
      </c>
      <c r="F1675" s="33"/>
      <c r="G1675" s="34"/>
      <c r="H1675" s="4"/>
      <c r="I1675" s="4"/>
      <c r="J1675" s="33">
        <f>SUM(AE1671:AE1674)</f>
        <v>6233.74</v>
      </c>
      <c r="K1675" s="33"/>
      <c r="M1675"/>
      <c r="N1675"/>
      <c r="O1675"/>
      <c r="P1675"/>
      <c r="Q1675"/>
    </row>
    <row r="1676" spans="1:33" ht="14.25" x14ac:dyDescent="0.2">
      <c r="A1676" s="31"/>
      <c r="B1676" s="31"/>
      <c r="C1676" s="31" t="s">
        <v>42</v>
      </c>
      <c r="D1676" s="32" t="s">
        <v>43</v>
      </c>
      <c r="E1676" s="4">
        <f>[1]Source!AQ1452</f>
        <v>3.36</v>
      </c>
      <c r="F1676" s="33"/>
      <c r="G1676" s="34" t="str">
        <f>[1]Source!DI1452</f>
        <v>)*1*10</v>
      </c>
      <c r="H1676" s="4">
        <f>[1]Source!AV1452</f>
        <v>1</v>
      </c>
      <c r="I1676" s="4"/>
      <c r="J1676" s="33"/>
      <c r="K1676" s="33">
        <f>[1]Source!U1452</f>
        <v>224.78400000000002</v>
      </c>
      <c r="M1676"/>
      <c r="N1676"/>
      <c r="O1676"/>
      <c r="P1676"/>
      <c r="Q1676"/>
    </row>
    <row r="1677" spans="1:33" ht="15" x14ac:dyDescent="0.25">
      <c r="A1677" s="35"/>
      <c r="B1677" s="35"/>
      <c r="C1677" s="35"/>
      <c r="D1677" s="35"/>
      <c r="E1677" s="35"/>
      <c r="F1677" s="35"/>
      <c r="G1677" s="35"/>
      <c r="H1677" s="35"/>
      <c r="I1677" s="36">
        <f>J1673+J1674+J1675</f>
        <v>112207.35</v>
      </c>
      <c r="J1677" s="36"/>
      <c r="K1677" s="37">
        <f>IF([1]Source!I1452&lt;&gt;0, ROUND(I1677/[1]Source!I1452, 2), 0)</f>
        <v>16772.400000000001</v>
      </c>
      <c r="M1677"/>
      <c r="N1677"/>
      <c r="O1677"/>
      <c r="P1677"/>
      <c r="Q1677"/>
      <c r="AA1677" s="38">
        <f>I1677</f>
        <v>112207.35</v>
      </c>
    </row>
    <row r="1678" spans="1:33" ht="57" x14ac:dyDescent="0.2">
      <c r="A1678" s="31">
        <v>238</v>
      </c>
      <c r="B1678" s="31" t="str">
        <f>[1]Source!F1453</f>
        <v>5.3-1102-27-2/1</v>
      </c>
      <c r="C1678" s="31" t="str">
        <f>[1]Source!G1453</f>
        <v>Очистка лотков с решетками от наледи, добавлять к 3-1102-27-1 на каждые 100 см2 изменения сечения лотка</v>
      </c>
      <c r="D1678" s="32" t="str">
        <f>[1]Source!H1453</f>
        <v>10 м</v>
      </c>
      <c r="E1678" s="4">
        <f>[1]Source!I1453</f>
        <v>6.69</v>
      </c>
      <c r="F1678" s="33"/>
      <c r="G1678" s="34"/>
      <c r="H1678" s="4"/>
      <c r="I1678" s="4"/>
      <c r="J1678" s="33"/>
      <c r="K1678" s="33"/>
      <c r="M1678"/>
      <c r="N1678"/>
      <c r="O1678"/>
      <c r="P1678"/>
      <c r="Q1678"/>
      <c r="AB1678">
        <f>ROUND(([1]Source!BZ1453/100)*ROUND(([1]Source!AF1453*[1]Source!AV1453)*[1]Source!I1453, 2), 2)</f>
        <v>59999.07</v>
      </c>
      <c r="AC1678">
        <f>[1]Source!X1453</f>
        <v>59999.07</v>
      </c>
      <c r="AD1678">
        <f>ROUND(([1]Source!CA1453/100)*ROUND(([1]Source!AF1453*[1]Source!AV1453)*[1]Source!I1453, 2), 2)</f>
        <v>8571.2999999999993</v>
      </c>
      <c r="AE1678">
        <f>[1]Source!Y1453</f>
        <v>8571.2999999999993</v>
      </c>
      <c r="AF1678">
        <f>ROUND((175/100)*ROUND(([1]Source!AE1453*[1]Source!AV1453)*[1]Source!I1453, 2), 2)</f>
        <v>0</v>
      </c>
      <c r="AG1678">
        <f>ROUND((108/100)*ROUND([1]Source!CS1453*[1]Source!I1453, 2), 2)</f>
        <v>0</v>
      </c>
    </row>
    <row r="1679" spans="1:33" x14ac:dyDescent="0.2">
      <c r="C1679" s="40" t="str">
        <f>"Объем: "&amp;[1]Source!I1453&amp;"=66,9/"&amp;"10"</f>
        <v>Объем: 6,69=66,9/10</v>
      </c>
      <c r="M1679"/>
      <c r="N1679"/>
      <c r="O1679"/>
      <c r="P1679"/>
      <c r="Q1679"/>
    </row>
    <row r="1680" spans="1:33" ht="14.25" x14ac:dyDescent="0.2">
      <c r="A1680" s="31"/>
      <c r="B1680" s="31"/>
      <c r="C1680" s="31" t="s">
        <v>34</v>
      </c>
      <c r="D1680" s="32"/>
      <c r="E1680" s="4"/>
      <c r="F1680" s="33">
        <f>[1]Source!AO1453</f>
        <v>366.06</v>
      </c>
      <c r="G1680" s="34" t="str">
        <f>[1]Source!DG1453</f>
        <v>)*1*3,5*10</v>
      </c>
      <c r="H1680" s="4">
        <f>[1]Source!AV1453</f>
        <v>1</v>
      </c>
      <c r="I1680" s="4">
        <f>IF([1]Source!BA1453&lt;&gt; 0, [1]Source!BA1453, 1)</f>
        <v>1</v>
      </c>
      <c r="J1680" s="33">
        <f>[1]Source!S1453</f>
        <v>85712.95</v>
      </c>
      <c r="K1680" s="33"/>
      <c r="M1680"/>
      <c r="N1680"/>
      <c r="O1680"/>
      <c r="P1680"/>
      <c r="Q1680"/>
    </row>
    <row r="1681" spans="1:33" ht="14.25" x14ac:dyDescent="0.2">
      <c r="A1681" s="31"/>
      <c r="B1681" s="31"/>
      <c r="C1681" s="31" t="s">
        <v>40</v>
      </c>
      <c r="D1681" s="32" t="s">
        <v>39</v>
      </c>
      <c r="E1681" s="4">
        <f>[1]Source!AT1453</f>
        <v>70</v>
      </c>
      <c r="F1681" s="33"/>
      <c r="G1681" s="34"/>
      <c r="H1681" s="4"/>
      <c r="I1681" s="4"/>
      <c r="J1681" s="33">
        <f>SUM(AC1678:AC1680)</f>
        <v>59999.07</v>
      </c>
      <c r="K1681" s="33"/>
      <c r="M1681"/>
      <c r="N1681"/>
      <c r="O1681"/>
      <c r="P1681"/>
      <c r="Q1681"/>
    </row>
    <row r="1682" spans="1:33" ht="14.25" x14ac:dyDescent="0.2">
      <c r="A1682" s="31"/>
      <c r="B1682" s="31"/>
      <c r="C1682" s="31" t="s">
        <v>41</v>
      </c>
      <c r="D1682" s="32" t="s">
        <v>39</v>
      </c>
      <c r="E1682" s="4">
        <f>[1]Source!AU1453</f>
        <v>10</v>
      </c>
      <c r="F1682" s="33"/>
      <c r="G1682" s="34"/>
      <c r="H1682" s="4"/>
      <c r="I1682" s="4"/>
      <c r="J1682" s="33">
        <f>SUM(AE1678:AE1681)</f>
        <v>8571.2999999999993</v>
      </c>
      <c r="K1682" s="33"/>
      <c r="M1682"/>
      <c r="N1682"/>
      <c r="O1682"/>
      <c r="P1682"/>
      <c r="Q1682"/>
    </row>
    <row r="1683" spans="1:33" ht="14.25" x14ac:dyDescent="0.2">
      <c r="A1683" s="31"/>
      <c r="B1683" s="31"/>
      <c r="C1683" s="31" t="s">
        <v>42</v>
      </c>
      <c r="D1683" s="32" t="s">
        <v>43</v>
      </c>
      <c r="E1683" s="4">
        <f>[1]Source!AQ1453</f>
        <v>1.32</v>
      </c>
      <c r="F1683" s="33"/>
      <c r="G1683" s="34" t="str">
        <f>[1]Source!DI1453</f>
        <v>)*1*3,5*10</v>
      </c>
      <c r="H1683" s="4">
        <f>[1]Source!AV1453</f>
        <v>1</v>
      </c>
      <c r="I1683" s="4"/>
      <c r="J1683" s="33"/>
      <c r="K1683" s="33">
        <f>[1]Source!U1453</f>
        <v>309.07800000000003</v>
      </c>
      <c r="M1683"/>
      <c r="N1683"/>
      <c r="O1683"/>
      <c r="P1683"/>
      <c r="Q1683"/>
    </row>
    <row r="1684" spans="1:33" ht="15" x14ac:dyDescent="0.25">
      <c r="A1684" s="35"/>
      <c r="B1684" s="35"/>
      <c r="C1684" s="35"/>
      <c r="D1684" s="35"/>
      <c r="E1684" s="35"/>
      <c r="F1684" s="35"/>
      <c r="G1684" s="35"/>
      <c r="H1684" s="35"/>
      <c r="I1684" s="36">
        <f>J1680+J1681+J1682</f>
        <v>154283.31999999998</v>
      </c>
      <c r="J1684" s="36"/>
      <c r="K1684" s="37">
        <f>IF([1]Source!I1453&lt;&gt;0, ROUND(I1684/[1]Source!I1453, 2), 0)</f>
        <v>23061.78</v>
      </c>
      <c r="M1684"/>
      <c r="N1684"/>
      <c r="O1684"/>
      <c r="P1684"/>
      <c r="Q1684"/>
      <c r="AA1684" s="38">
        <f>I1684</f>
        <v>154283.31999999998</v>
      </c>
    </row>
    <row r="1685" spans="1:33" ht="57" x14ac:dyDescent="0.2">
      <c r="A1685" s="31">
        <v>239</v>
      </c>
      <c r="B1685" s="31" t="str">
        <f>[1]Source!F1454</f>
        <v>5.3-1102-27-1/1</v>
      </c>
      <c r="C1685" s="31" t="str">
        <f>[1]Source!G1454</f>
        <v>Очистка лотков с решетками от наледи, сечение лотка 100 см2, количество креплений решеток 20 шт.( сечение 500 см2)</v>
      </c>
      <c r="D1685" s="32" t="str">
        <f>[1]Source!H1454</f>
        <v>10 м</v>
      </c>
      <c r="E1685" s="4">
        <f>[1]Source!I1454</f>
        <v>16.236000000000001</v>
      </c>
      <c r="F1685" s="33"/>
      <c r="G1685" s="34"/>
      <c r="H1685" s="4"/>
      <c r="I1685" s="4"/>
      <c r="J1685" s="33"/>
      <c r="K1685" s="33"/>
      <c r="M1685"/>
      <c r="N1685"/>
      <c r="O1685"/>
      <c r="P1685"/>
      <c r="Q1685"/>
      <c r="AB1685">
        <f>ROUND(([1]Source!BZ1454/100)*ROUND(([1]Source!AF1454*[1]Source!AV1454)*[1]Source!I1454, 2), 2)</f>
        <v>105900.94</v>
      </c>
      <c r="AC1685">
        <f>[1]Source!X1454</f>
        <v>105900.94</v>
      </c>
      <c r="AD1685">
        <f>ROUND(([1]Source!CA1454/100)*ROUND(([1]Source!AF1454*[1]Source!AV1454)*[1]Source!I1454, 2), 2)</f>
        <v>15128.71</v>
      </c>
      <c r="AE1685">
        <f>[1]Source!Y1454</f>
        <v>15128.71</v>
      </c>
      <c r="AF1685">
        <f>ROUND((175/100)*ROUND(([1]Source!AE1454*[1]Source!AV1454)*[1]Source!I1454, 2), 2)</f>
        <v>0</v>
      </c>
      <c r="AG1685">
        <f>ROUND((108/100)*ROUND([1]Source!CS1454*[1]Source!I1454, 2), 2)</f>
        <v>0</v>
      </c>
    </row>
    <row r="1686" spans="1:33" x14ac:dyDescent="0.2">
      <c r="C1686" s="40" t="str">
        <f>"Объем: "&amp;[1]Source!I1454&amp;"=162,36/"&amp;"10"</f>
        <v>Объем: 16,236=162,36/10</v>
      </c>
      <c r="M1686"/>
      <c r="N1686"/>
      <c r="O1686"/>
      <c r="P1686"/>
      <c r="Q1686"/>
    </row>
    <row r="1687" spans="1:33" ht="14.25" x14ac:dyDescent="0.2">
      <c r="A1687" s="31"/>
      <c r="B1687" s="31"/>
      <c r="C1687" s="31" t="s">
        <v>34</v>
      </c>
      <c r="D1687" s="32"/>
      <c r="E1687" s="4"/>
      <c r="F1687" s="33">
        <f>[1]Source!AO1454</f>
        <v>931.8</v>
      </c>
      <c r="G1687" s="34" t="str">
        <f>[1]Source!DG1454</f>
        <v>)*1*10</v>
      </c>
      <c r="H1687" s="4">
        <f>[1]Source!AV1454</f>
        <v>1</v>
      </c>
      <c r="I1687" s="4">
        <f>IF([1]Source!BA1454&lt;&gt; 0, [1]Source!BA1454, 1)</f>
        <v>1</v>
      </c>
      <c r="J1687" s="33">
        <f>[1]Source!S1454</f>
        <v>151287.04999999999</v>
      </c>
      <c r="K1687" s="33"/>
      <c r="M1687"/>
      <c r="N1687"/>
      <c r="O1687"/>
      <c r="P1687"/>
      <c r="Q1687"/>
    </row>
    <row r="1688" spans="1:33" ht="14.25" x14ac:dyDescent="0.2">
      <c r="A1688" s="31"/>
      <c r="B1688" s="31"/>
      <c r="C1688" s="31" t="s">
        <v>40</v>
      </c>
      <c r="D1688" s="32" t="s">
        <v>39</v>
      </c>
      <c r="E1688" s="4">
        <f>[1]Source!AT1454</f>
        <v>70</v>
      </c>
      <c r="F1688" s="33"/>
      <c r="G1688" s="34"/>
      <c r="H1688" s="4"/>
      <c r="I1688" s="4"/>
      <c r="J1688" s="33">
        <f>SUM(AC1685:AC1687)</f>
        <v>105900.94</v>
      </c>
      <c r="K1688" s="33"/>
      <c r="M1688"/>
      <c r="N1688"/>
      <c r="O1688"/>
      <c r="P1688"/>
      <c r="Q1688"/>
    </row>
    <row r="1689" spans="1:33" ht="14.25" x14ac:dyDescent="0.2">
      <c r="A1689" s="31"/>
      <c r="B1689" s="31"/>
      <c r="C1689" s="31" t="s">
        <v>41</v>
      </c>
      <c r="D1689" s="32" t="s">
        <v>39</v>
      </c>
      <c r="E1689" s="4">
        <f>[1]Source!AU1454</f>
        <v>10</v>
      </c>
      <c r="F1689" s="33"/>
      <c r="G1689" s="34"/>
      <c r="H1689" s="4"/>
      <c r="I1689" s="4"/>
      <c r="J1689" s="33">
        <f>SUM(AE1685:AE1688)</f>
        <v>15128.71</v>
      </c>
      <c r="K1689" s="33"/>
      <c r="M1689"/>
      <c r="N1689"/>
      <c r="O1689"/>
      <c r="P1689"/>
      <c r="Q1689"/>
    </row>
    <row r="1690" spans="1:33" ht="14.25" x14ac:dyDescent="0.2">
      <c r="A1690" s="31"/>
      <c r="B1690" s="31"/>
      <c r="C1690" s="31" t="s">
        <v>42</v>
      </c>
      <c r="D1690" s="32" t="s">
        <v>43</v>
      </c>
      <c r="E1690" s="4">
        <f>[1]Source!AQ1454</f>
        <v>3.36</v>
      </c>
      <c r="F1690" s="33"/>
      <c r="G1690" s="34" t="str">
        <f>[1]Source!DI1454</f>
        <v>)*1*10</v>
      </c>
      <c r="H1690" s="4">
        <f>[1]Source!AV1454</f>
        <v>1</v>
      </c>
      <c r="I1690" s="4"/>
      <c r="J1690" s="33"/>
      <c r="K1690" s="33">
        <f>[1]Source!U1454</f>
        <v>545.52960000000007</v>
      </c>
      <c r="M1690"/>
      <c r="N1690"/>
      <c r="O1690"/>
      <c r="P1690"/>
      <c r="Q1690"/>
    </row>
    <row r="1691" spans="1:33" ht="15" x14ac:dyDescent="0.25">
      <c r="A1691" s="35"/>
      <c r="B1691" s="35"/>
      <c r="C1691" s="35"/>
      <c r="D1691" s="35"/>
      <c r="E1691" s="35"/>
      <c r="F1691" s="35"/>
      <c r="G1691" s="35"/>
      <c r="H1691" s="35"/>
      <c r="I1691" s="36">
        <f>J1687+J1688+J1689</f>
        <v>272316.7</v>
      </c>
      <c r="J1691" s="36"/>
      <c r="K1691" s="37">
        <f>IF([1]Source!I1454&lt;&gt;0, ROUND(I1691/[1]Source!I1454, 2), 0)</f>
        <v>16772.400000000001</v>
      </c>
      <c r="M1691"/>
      <c r="N1691"/>
      <c r="O1691"/>
      <c r="P1691"/>
      <c r="Q1691"/>
      <c r="AA1691" s="38">
        <f>I1691</f>
        <v>272316.7</v>
      </c>
    </row>
    <row r="1692" spans="1:33" ht="57" x14ac:dyDescent="0.2">
      <c r="A1692" s="31">
        <v>240</v>
      </c>
      <c r="B1692" s="31" t="str">
        <f>[1]Source!F1455</f>
        <v>5.3-1102-27-2/1</v>
      </c>
      <c r="C1692" s="31" t="str">
        <f>[1]Source!G1455</f>
        <v>Очистка лотков с решетками от наледи, добавлять к 3-1102-27-1 на каждые 100 см2 изменения сечения лотка</v>
      </c>
      <c r="D1692" s="32" t="str">
        <f>[1]Source!H1455</f>
        <v>10 м</v>
      </c>
      <c r="E1692" s="4">
        <f>[1]Source!I1455</f>
        <v>16.236000000000001</v>
      </c>
      <c r="F1692" s="33"/>
      <c r="G1692" s="34"/>
      <c r="H1692" s="4"/>
      <c r="I1692" s="4"/>
      <c r="J1692" s="33"/>
      <c r="K1692" s="33"/>
      <c r="M1692"/>
      <c r="N1692"/>
      <c r="O1692"/>
      <c r="P1692"/>
      <c r="Q1692"/>
      <c r="AB1692">
        <f>ROUND(([1]Source!BZ1455/100)*ROUND(([1]Source!AF1455*[1]Source!AV1455)*[1]Source!I1455, 2), 2)</f>
        <v>166413.81</v>
      </c>
      <c r="AC1692">
        <f>[1]Source!X1455</f>
        <v>166413.81</v>
      </c>
      <c r="AD1692">
        <f>ROUND(([1]Source!CA1455/100)*ROUND(([1]Source!AF1455*[1]Source!AV1455)*[1]Source!I1455, 2), 2)</f>
        <v>23773.4</v>
      </c>
      <c r="AE1692">
        <f>[1]Source!Y1455</f>
        <v>23773.4</v>
      </c>
      <c r="AF1692">
        <f>ROUND((175/100)*ROUND(([1]Source!AE1455*[1]Source!AV1455)*[1]Source!I1455, 2), 2)</f>
        <v>0</v>
      </c>
      <c r="AG1692">
        <f>ROUND((108/100)*ROUND([1]Source!CS1455*[1]Source!I1455, 2), 2)</f>
        <v>0</v>
      </c>
    </row>
    <row r="1693" spans="1:33" x14ac:dyDescent="0.2">
      <c r="C1693" s="40" t="str">
        <f>"Объем: "&amp;[1]Source!I1455&amp;"=162,36/"&amp;"10"</f>
        <v>Объем: 16,236=162,36/10</v>
      </c>
      <c r="M1693"/>
      <c r="N1693"/>
      <c r="O1693"/>
      <c r="P1693"/>
      <c r="Q1693"/>
    </row>
    <row r="1694" spans="1:33" ht="14.25" x14ac:dyDescent="0.2">
      <c r="A1694" s="31"/>
      <c r="B1694" s="31"/>
      <c r="C1694" s="31" t="s">
        <v>34</v>
      </c>
      <c r="D1694" s="32"/>
      <c r="E1694" s="4"/>
      <c r="F1694" s="33">
        <f>[1]Source!AO1455</f>
        <v>366.06</v>
      </c>
      <c r="G1694" s="34" t="str">
        <f>[1]Source!DG1455</f>
        <v>)*1*4*10</v>
      </c>
      <c r="H1694" s="4">
        <f>[1]Source!AV1455</f>
        <v>1</v>
      </c>
      <c r="I1694" s="4">
        <f>IF([1]Source!BA1455&lt;&gt; 0, [1]Source!BA1455, 1)</f>
        <v>1</v>
      </c>
      <c r="J1694" s="33">
        <f>[1]Source!S1455</f>
        <v>237734.01</v>
      </c>
      <c r="K1694" s="33"/>
      <c r="M1694"/>
      <c r="N1694"/>
      <c r="O1694"/>
      <c r="P1694"/>
      <c r="Q1694"/>
    </row>
    <row r="1695" spans="1:33" ht="14.25" x14ac:dyDescent="0.2">
      <c r="A1695" s="31"/>
      <c r="B1695" s="31"/>
      <c r="C1695" s="31" t="s">
        <v>40</v>
      </c>
      <c r="D1695" s="32" t="s">
        <v>39</v>
      </c>
      <c r="E1695" s="4">
        <f>[1]Source!AT1455</f>
        <v>70</v>
      </c>
      <c r="F1695" s="33"/>
      <c r="G1695" s="34"/>
      <c r="H1695" s="4"/>
      <c r="I1695" s="4"/>
      <c r="J1695" s="33">
        <f>SUM(AC1692:AC1694)</f>
        <v>166413.81</v>
      </c>
      <c r="K1695" s="33"/>
      <c r="M1695"/>
      <c r="N1695"/>
      <c r="O1695"/>
      <c r="P1695"/>
      <c r="Q1695"/>
    </row>
    <row r="1696" spans="1:33" ht="14.25" x14ac:dyDescent="0.2">
      <c r="A1696" s="31"/>
      <c r="B1696" s="31"/>
      <c r="C1696" s="31" t="s">
        <v>41</v>
      </c>
      <c r="D1696" s="32" t="s">
        <v>39</v>
      </c>
      <c r="E1696" s="4">
        <f>[1]Source!AU1455</f>
        <v>10</v>
      </c>
      <c r="F1696" s="33"/>
      <c r="G1696" s="34"/>
      <c r="H1696" s="4"/>
      <c r="I1696" s="4"/>
      <c r="J1696" s="33">
        <f>SUM(AE1692:AE1695)</f>
        <v>23773.4</v>
      </c>
      <c r="K1696" s="33"/>
      <c r="M1696"/>
      <c r="N1696"/>
      <c r="O1696"/>
      <c r="P1696"/>
      <c r="Q1696"/>
    </row>
    <row r="1697" spans="1:33" ht="14.25" x14ac:dyDescent="0.2">
      <c r="A1697" s="31"/>
      <c r="B1697" s="31"/>
      <c r="C1697" s="31" t="s">
        <v>42</v>
      </c>
      <c r="D1697" s="32" t="s">
        <v>43</v>
      </c>
      <c r="E1697" s="4">
        <f>[1]Source!AQ1455</f>
        <v>1.32</v>
      </c>
      <c r="F1697" s="33"/>
      <c r="G1697" s="34" t="str">
        <f>[1]Source!DI1455</f>
        <v>)*1*4*10</v>
      </c>
      <c r="H1697" s="4">
        <f>[1]Source!AV1455</f>
        <v>1</v>
      </c>
      <c r="I1697" s="4"/>
      <c r="J1697" s="33"/>
      <c r="K1697" s="33">
        <f>[1]Source!U1455</f>
        <v>857.26080000000013</v>
      </c>
      <c r="M1697"/>
      <c r="N1697"/>
      <c r="O1697"/>
      <c r="P1697"/>
      <c r="Q1697"/>
    </row>
    <row r="1698" spans="1:33" ht="15" x14ac:dyDescent="0.25">
      <c r="A1698" s="35"/>
      <c r="B1698" s="35"/>
      <c r="C1698" s="35"/>
      <c r="D1698" s="35"/>
      <c r="E1698" s="35"/>
      <c r="F1698" s="35"/>
      <c r="G1698" s="35"/>
      <c r="H1698" s="35"/>
      <c r="I1698" s="36">
        <f>J1694+J1695+J1696</f>
        <v>427921.22000000003</v>
      </c>
      <c r="J1698" s="36"/>
      <c r="K1698" s="37">
        <f>IF([1]Source!I1455&lt;&gt;0, ROUND(I1698/[1]Source!I1455, 2), 0)</f>
        <v>26356.32</v>
      </c>
      <c r="M1698"/>
      <c r="N1698"/>
      <c r="O1698"/>
      <c r="P1698"/>
      <c r="Q1698"/>
      <c r="AA1698" s="38">
        <f>I1698</f>
        <v>427921.22000000003</v>
      </c>
    </row>
    <row r="1699" spans="1:33" ht="57" x14ac:dyDescent="0.2">
      <c r="A1699" s="31">
        <v>241</v>
      </c>
      <c r="B1699" s="31" t="str">
        <f>[1]Source!F1456</f>
        <v>5.3-1102-27-1/1</v>
      </c>
      <c r="C1699" s="31" t="str">
        <f>[1]Source!G1456</f>
        <v>Очистка лотков с решетками от наледи, сечение лотка 100 см2, количество креплений решеток 20 шт.( сечение 825 см2)</v>
      </c>
      <c r="D1699" s="32" t="str">
        <f>[1]Source!H1456</f>
        <v>10 м</v>
      </c>
      <c r="E1699" s="4">
        <f>[1]Source!I1456</f>
        <v>6.6859999999999999</v>
      </c>
      <c r="F1699" s="33"/>
      <c r="G1699" s="34"/>
      <c r="H1699" s="4"/>
      <c r="I1699" s="4"/>
      <c r="J1699" s="33"/>
      <c r="K1699" s="33"/>
      <c r="M1699"/>
      <c r="N1699"/>
      <c r="O1699"/>
      <c r="P1699"/>
      <c r="Q1699"/>
      <c r="AB1699">
        <f>ROUND(([1]Source!BZ1456/100)*ROUND(([1]Source!AF1456*[1]Source!AV1456)*[1]Source!I1456, 2), 2)</f>
        <v>43610.11</v>
      </c>
      <c r="AC1699">
        <f>[1]Source!X1456</f>
        <v>43610.11</v>
      </c>
      <c r="AD1699">
        <f>ROUND(([1]Source!CA1456/100)*ROUND(([1]Source!AF1456*[1]Source!AV1456)*[1]Source!I1456, 2), 2)</f>
        <v>6230.02</v>
      </c>
      <c r="AE1699">
        <f>[1]Source!Y1456</f>
        <v>6230.02</v>
      </c>
      <c r="AF1699">
        <f>ROUND((175/100)*ROUND(([1]Source!AE1456*[1]Source!AV1456)*[1]Source!I1456, 2), 2)</f>
        <v>0</v>
      </c>
      <c r="AG1699">
        <f>ROUND((108/100)*ROUND([1]Source!CS1456*[1]Source!I1456, 2), 2)</f>
        <v>0</v>
      </c>
    </row>
    <row r="1700" spans="1:33" x14ac:dyDescent="0.2">
      <c r="C1700" s="40" t="str">
        <f>"Объем: "&amp;[1]Source!I1456&amp;"=66,86/"&amp;"10"</f>
        <v>Объем: 6,686=66,86/10</v>
      </c>
      <c r="M1700"/>
      <c r="N1700"/>
      <c r="O1700"/>
      <c r="P1700"/>
      <c r="Q1700"/>
    </row>
    <row r="1701" spans="1:33" ht="14.25" x14ac:dyDescent="0.2">
      <c r="A1701" s="31"/>
      <c r="B1701" s="31"/>
      <c r="C1701" s="31" t="s">
        <v>34</v>
      </c>
      <c r="D1701" s="32"/>
      <c r="E1701" s="4"/>
      <c r="F1701" s="33">
        <f>[1]Source!AO1456</f>
        <v>931.8</v>
      </c>
      <c r="G1701" s="34" t="str">
        <f>[1]Source!DG1456</f>
        <v>)*1*10</v>
      </c>
      <c r="H1701" s="4">
        <f>[1]Source!AV1456</f>
        <v>1</v>
      </c>
      <c r="I1701" s="4">
        <f>IF([1]Source!BA1456&lt;&gt; 0, [1]Source!BA1456, 1)</f>
        <v>1</v>
      </c>
      <c r="J1701" s="33">
        <f>[1]Source!S1456</f>
        <v>62300.15</v>
      </c>
      <c r="K1701" s="33"/>
      <c r="M1701"/>
      <c r="N1701"/>
      <c r="O1701"/>
      <c r="P1701"/>
      <c r="Q1701"/>
    </row>
    <row r="1702" spans="1:33" ht="14.25" x14ac:dyDescent="0.2">
      <c r="A1702" s="31"/>
      <c r="B1702" s="31"/>
      <c r="C1702" s="31" t="s">
        <v>40</v>
      </c>
      <c r="D1702" s="32" t="s">
        <v>39</v>
      </c>
      <c r="E1702" s="4">
        <f>[1]Source!AT1456</f>
        <v>70</v>
      </c>
      <c r="F1702" s="33"/>
      <c r="G1702" s="34"/>
      <c r="H1702" s="4"/>
      <c r="I1702" s="4"/>
      <c r="J1702" s="33">
        <f>SUM(AC1699:AC1701)</f>
        <v>43610.11</v>
      </c>
      <c r="K1702" s="33"/>
      <c r="M1702"/>
      <c r="N1702"/>
      <c r="O1702"/>
      <c r="P1702"/>
      <c r="Q1702"/>
    </row>
    <row r="1703" spans="1:33" ht="14.25" x14ac:dyDescent="0.2">
      <c r="A1703" s="31"/>
      <c r="B1703" s="31"/>
      <c r="C1703" s="31" t="s">
        <v>41</v>
      </c>
      <c r="D1703" s="32" t="s">
        <v>39</v>
      </c>
      <c r="E1703" s="4">
        <f>[1]Source!AU1456</f>
        <v>10</v>
      </c>
      <c r="F1703" s="33"/>
      <c r="G1703" s="34"/>
      <c r="H1703" s="4"/>
      <c r="I1703" s="4"/>
      <c r="J1703" s="33">
        <f>SUM(AE1699:AE1702)</f>
        <v>6230.02</v>
      </c>
      <c r="K1703" s="33"/>
      <c r="M1703"/>
      <c r="N1703"/>
      <c r="O1703"/>
      <c r="P1703"/>
      <c r="Q1703"/>
    </row>
    <row r="1704" spans="1:33" ht="14.25" x14ac:dyDescent="0.2">
      <c r="A1704" s="31"/>
      <c r="B1704" s="31"/>
      <c r="C1704" s="31" t="s">
        <v>42</v>
      </c>
      <c r="D1704" s="32" t="s">
        <v>43</v>
      </c>
      <c r="E1704" s="4">
        <f>[1]Source!AQ1456</f>
        <v>3.36</v>
      </c>
      <c r="F1704" s="33"/>
      <c r="G1704" s="34" t="str">
        <f>[1]Source!DI1456</f>
        <v>)*1*10</v>
      </c>
      <c r="H1704" s="4">
        <f>[1]Source!AV1456</f>
        <v>1</v>
      </c>
      <c r="I1704" s="4"/>
      <c r="J1704" s="33"/>
      <c r="K1704" s="33">
        <f>[1]Source!U1456</f>
        <v>224.64960000000002</v>
      </c>
      <c r="M1704"/>
      <c r="N1704"/>
      <c r="O1704"/>
      <c r="P1704"/>
      <c r="Q1704"/>
    </row>
    <row r="1705" spans="1:33" ht="15" x14ac:dyDescent="0.25">
      <c r="A1705" s="35"/>
      <c r="B1705" s="35"/>
      <c r="C1705" s="35"/>
      <c r="D1705" s="35"/>
      <c r="E1705" s="35"/>
      <c r="F1705" s="35"/>
      <c r="G1705" s="35"/>
      <c r="H1705" s="35"/>
      <c r="I1705" s="36">
        <f>J1701+J1702+J1703</f>
        <v>112140.28000000001</v>
      </c>
      <c r="J1705" s="36"/>
      <c r="K1705" s="37">
        <f>IF([1]Source!I1456&lt;&gt;0, ROUND(I1705/[1]Source!I1456, 2), 0)</f>
        <v>16772.400000000001</v>
      </c>
      <c r="M1705"/>
      <c r="N1705"/>
      <c r="O1705"/>
      <c r="P1705"/>
      <c r="Q1705"/>
      <c r="AA1705" s="38">
        <f>I1705</f>
        <v>112140.28000000001</v>
      </c>
    </row>
    <row r="1706" spans="1:33" ht="57" x14ac:dyDescent="0.2">
      <c r="A1706" s="31">
        <v>242</v>
      </c>
      <c r="B1706" s="31" t="str">
        <f>[1]Source!F1457</f>
        <v>5.3-1102-27-2/1</v>
      </c>
      <c r="C1706" s="31" t="str">
        <f>[1]Source!G1457</f>
        <v>Очистка лотков с решетками от наледи, добавлять к 3-1102-27-1 на каждые 100 см2 изменения сечения лотка</v>
      </c>
      <c r="D1706" s="32" t="str">
        <f>[1]Source!H1457</f>
        <v>10 м</v>
      </c>
      <c r="E1706" s="4">
        <f>[1]Source!I1457</f>
        <v>6.6859999999999999</v>
      </c>
      <c r="F1706" s="33"/>
      <c r="G1706" s="34"/>
      <c r="H1706" s="4"/>
      <c r="I1706" s="4"/>
      <c r="J1706" s="33"/>
      <c r="K1706" s="33"/>
      <c r="M1706"/>
      <c r="N1706"/>
      <c r="O1706"/>
      <c r="P1706"/>
      <c r="Q1706"/>
      <c r="AB1706">
        <f>ROUND(([1]Source!BZ1457/100)*ROUND(([1]Source!AF1457*[1]Source!AV1457)*[1]Source!I1457, 2), 2)</f>
        <v>124209.46</v>
      </c>
      <c r="AC1706">
        <f>[1]Source!X1457</f>
        <v>124209.46</v>
      </c>
      <c r="AD1706">
        <f>ROUND(([1]Source!CA1457/100)*ROUND(([1]Source!AF1457*[1]Source!AV1457)*[1]Source!I1457, 2), 2)</f>
        <v>17744.21</v>
      </c>
      <c r="AE1706">
        <f>[1]Source!Y1457</f>
        <v>17744.21</v>
      </c>
      <c r="AF1706">
        <f>ROUND((175/100)*ROUND(([1]Source!AE1457*[1]Source!AV1457)*[1]Source!I1457, 2), 2)</f>
        <v>0</v>
      </c>
      <c r="AG1706">
        <f>ROUND((108/100)*ROUND([1]Source!CS1457*[1]Source!I1457, 2), 2)</f>
        <v>0</v>
      </c>
    </row>
    <row r="1707" spans="1:33" x14ac:dyDescent="0.2">
      <c r="C1707" s="40" t="str">
        <f>"Объем: "&amp;[1]Source!I1457&amp;"=66,86/"&amp;"10"</f>
        <v>Объем: 6,686=66,86/10</v>
      </c>
      <c r="M1707"/>
      <c r="N1707"/>
      <c r="O1707"/>
      <c r="P1707"/>
      <c r="Q1707"/>
    </row>
    <row r="1708" spans="1:33" ht="14.25" x14ac:dyDescent="0.2">
      <c r="A1708" s="31"/>
      <c r="B1708" s="31"/>
      <c r="C1708" s="31" t="s">
        <v>34</v>
      </c>
      <c r="D1708" s="32"/>
      <c r="E1708" s="4"/>
      <c r="F1708" s="33">
        <f>[1]Source!AO1457</f>
        <v>366.06</v>
      </c>
      <c r="G1708" s="34" t="str">
        <f>[1]Source!DG1457</f>
        <v>)*1*7,25*10</v>
      </c>
      <c r="H1708" s="4">
        <f>[1]Source!AV1457</f>
        <v>1</v>
      </c>
      <c r="I1708" s="4">
        <f>IF([1]Source!BA1457&lt;&gt; 0, [1]Source!BA1457, 1)</f>
        <v>1</v>
      </c>
      <c r="J1708" s="33">
        <f>[1]Source!S1457</f>
        <v>177442.09</v>
      </c>
      <c r="K1708" s="33"/>
      <c r="M1708"/>
      <c r="N1708"/>
      <c r="O1708"/>
      <c r="P1708"/>
      <c r="Q1708"/>
    </row>
    <row r="1709" spans="1:33" ht="14.25" x14ac:dyDescent="0.2">
      <c r="A1709" s="31"/>
      <c r="B1709" s="31"/>
      <c r="C1709" s="31" t="s">
        <v>40</v>
      </c>
      <c r="D1709" s="32" t="s">
        <v>39</v>
      </c>
      <c r="E1709" s="4">
        <f>[1]Source!AT1457</f>
        <v>70</v>
      </c>
      <c r="F1709" s="33"/>
      <c r="G1709" s="34"/>
      <c r="H1709" s="4"/>
      <c r="I1709" s="4"/>
      <c r="J1709" s="33">
        <f>SUM(AC1706:AC1708)</f>
        <v>124209.46</v>
      </c>
      <c r="K1709" s="33"/>
      <c r="M1709"/>
      <c r="N1709"/>
      <c r="O1709"/>
      <c r="P1709"/>
      <c r="Q1709"/>
    </row>
    <row r="1710" spans="1:33" ht="14.25" x14ac:dyDescent="0.2">
      <c r="A1710" s="31"/>
      <c r="B1710" s="31"/>
      <c r="C1710" s="31" t="s">
        <v>41</v>
      </c>
      <c r="D1710" s="32" t="s">
        <v>39</v>
      </c>
      <c r="E1710" s="4">
        <f>[1]Source!AU1457</f>
        <v>10</v>
      </c>
      <c r="F1710" s="33"/>
      <c r="G1710" s="34"/>
      <c r="H1710" s="4"/>
      <c r="I1710" s="4"/>
      <c r="J1710" s="33">
        <f>SUM(AE1706:AE1709)</f>
        <v>17744.21</v>
      </c>
      <c r="K1710" s="33"/>
      <c r="M1710"/>
      <c r="N1710"/>
      <c r="O1710"/>
      <c r="P1710"/>
      <c r="Q1710"/>
    </row>
    <row r="1711" spans="1:33" ht="14.25" x14ac:dyDescent="0.2">
      <c r="A1711" s="31"/>
      <c r="B1711" s="31"/>
      <c r="C1711" s="31" t="s">
        <v>42</v>
      </c>
      <c r="D1711" s="32" t="s">
        <v>43</v>
      </c>
      <c r="E1711" s="4">
        <f>[1]Source!AQ1457</f>
        <v>1.32</v>
      </c>
      <c r="F1711" s="33"/>
      <c r="G1711" s="34" t="str">
        <f>[1]Source!DI1457</f>
        <v>)*1*7,25*10</v>
      </c>
      <c r="H1711" s="4">
        <f>[1]Source!AV1457</f>
        <v>1</v>
      </c>
      <c r="I1711" s="4"/>
      <c r="J1711" s="33"/>
      <c r="K1711" s="33">
        <f>[1]Source!U1457</f>
        <v>639.85019999999997</v>
      </c>
      <c r="M1711"/>
      <c r="N1711"/>
      <c r="O1711"/>
      <c r="P1711"/>
      <c r="Q1711"/>
    </row>
    <row r="1712" spans="1:33" ht="15" x14ac:dyDescent="0.25">
      <c r="A1712" s="35"/>
      <c r="B1712" s="35"/>
      <c r="C1712" s="35"/>
      <c r="D1712" s="35"/>
      <c r="E1712" s="35"/>
      <c r="F1712" s="35"/>
      <c r="G1712" s="35"/>
      <c r="H1712" s="35"/>
      <c r="I1712" s="36">
        <f>J1708+J1709+J1710</f>
        <v>319395.76</v>
      </c>
      <c r="J1712" s="36"/>
      <c r="K1712" s="37">
        <f>IF([1]Source!I1457&lt;&gt;0, ROUND(I1712/[1]Source!I1457, 2), 0)</f>
        <v>47770.83</v>
      </c>
      <c r="M1712"/>
      <c r="N1712"/>
      <c r="O1712"/>
      <c r="P1712"/>
      <c r="Q1712"/>
      <c r="AA1712" s="38">
        <f>I1712</f>
        <v>319395.76</v>
      </c>
    </row>
    <row r="1713" spans="1:33" ht="57" x14ac:dyDescent="0.2">
      <c r="A1713" s="31">
        <v>243</v>
      </c>
      <c r="B1713" s="31" t="str">
        <f>[1]Source!F1458</f>
        <v>5.3-1102-27-1/1</v>
      </c>
      <c r="C1713" s="31" t="str">
        <f>[1]Source!G1458</f>
        <v>Очистка лотков с решетками от наледи, сечение лотка 100 см2, количество креплений решеток 20 шт.( сечение 1200 см2)</v>
      </c>
      <c r="D1713" s="32" t="str">
        <f>[1]Source!H1458</f>
        <v>10 м</v>
      </c>
      <c r="E1713" s="4">
        <f>[1]Source!I1458</f>
        <v>7.3280000000000003</v>
      </c>
      <c r="F1713" s="33"/>
      <c r="G1713" s="34"/>
      <c r="H1713" s="4"/>
      <c r="I1713" s="4"/>
      <c r="J1713" s="33"/>
      <c r="K1713" s="33"/>
      <c r="M1713"/>
      <c r="N1713"/>
      <c r="O1713"/>
      <c r="P1713"/>
      <c r="Q1713"/>
      <c r="AB1713">
        <f>ROUND(([1]Source!BZ1458/100)*ROUND(([1]Source!AF1458*[1]Source!AV1458)*[1]Source!I1458, 2), 2)</f>
        <v>47797.61</v>
      </c>
      <c r="AC1713">
        <f>[1]Source!X1458</f>
        <v>47797.61</v>
      </c>
      <c r="AD1713">
        <f>ROUND(([1]Source!CA1458/100)*ROUND(([1]Source!AF1458*[1]Source!AV1458)*[1]Source!I1458, 2), 2)</f>
        <v>6828.23</v>
      </c>
      <c r="AE1713">
        <f>[1]Source!Y1458</f>
        <v>6828.23</v>
      </c>
      <c r="AF1713">
        <f>ROUND((175/100)*ROUND(([1]Source!AE1458*[1]Source!AV1458)*[1]Source!I1458, 2), 2)</f>
        <v>0</v>
      </c>
      <c r="AG1713">
        <f>ROUND((108/100)*ROUND([1]Source!CS1458*[1]Source!I1458, 2), 2)</f>
        <v>0</v>
      </c>
    </row>
    <row r="1714" spans="1:33" x14ac:dyDescent="0.2">
      <c r="C1714" s="40" t="str">
        <f>"Объем: "&amp;[1]Source!I1458&amp;"=73,28/"&amp;"10"</f>
        <v>Объем: 7,328=73,28/10</v>
      </c>
      <c r="M1714"/>
      <c r="N1714"/>
      <c r="O1714"/>
      <c r="P1714"/>
      <c r="Q1714"/>
    </row>
    <row r="1715" spans="1:33" ht="14.25" x14ac:dyDescent="0.2">
      <c r="A1715" s="31"/>
      <c r="B1715" s="31"/>
      <c r="C1715" s="31" t="s">
        <v>34</v>
      </c>
      <c r="D1715" s="32"/>
      <c r="E1715" s="4"/>
      <c r="F1715" s="33">
        <f>[1]Source!AO1458</f>
        <v>931.8</v>
      </c>
      <c r="G1715" s="34" t="str">
        <f>[1]Source!DG1458</f>
        <v>)*1*10</v>
      </c>
      <c r="H1715" s="4">
        <f>[1]Source!AV1458</f>
        <v>1</v>
      </c>
      <c r="I1715" s="4">
        <f>IF([1]Source!BA1458&lt;&gt; 0, [1]Source!BA1458, 1)</f>
        <v>1</v>
      </c>
      <c r="J1715" s="33">
        <f>[1]Source!S1458</f>
        <v>68282.3</v>
      </c>
      <c r="K1715" s="33"/>
      <c r="M1715"/>
      <c r="N1715"/>
      <c r="O1715"/>
      <c r="P1715"/>
      <c r="Q1715"/>
    </row>
    <row r="1716" spans="1:33" ht="14.25" x14ac:dyDescent="0.2">
      <c r="A1716" s="31"/>
      <c r="B1716" s="31"/>
      <c r="C1716" s="31" t="s">
        <v>40</v>
      </c>
      <c r="D1716" s="32" t="s">
        <v>39</v>
      </c>
      <c r="E1716" s="4">
        <f>[1]Source!AT1458</f>
        <v>70</v>
      </c>
      <c r="F1716" s="33"/>
      <c r="G1716" s="34"/>
      <c r="H1716" s="4"/>
      <c r="I1716" s="4"/>
      <c r="J1716" s="33">
        <f>SUM(AC1713:AC1715)</f>
        <v>47797.61</v>
      </c>
      <c r="K1716" s="33"/>
      <c r="M1716"/>
      <c r="N1716"/>
      <c r="O1716"/>
      <c r="P1716"/>
      <c r="Q1716"/>
    </row>
    <row r="1717" spans="1:33" ht="14.25" x14ac:dyDescent="0.2">
      <c r="A1717" s="31"/>
      <c r="B1717" s="31"/>
      <c r="C1717" s="31" t="s">
        <v>41</v>
      </c>
      <c r="D1717" s="32" t="s">
        <v>39</v>
      </c>
      <c r="E1717" s="4">
        <f>[1]Source!AU1458</f>
        <v>10</v>
      </c>
      <c r="F1717" s="33"/>
      <c r="G1717" s="34"/>
      <c r="H1717" s="4"/>
      <c r="I1717" s="4"/>
      <c r="J1717" s="33">
        <f>SUM(AE1713:AE1716)</f>
        <v>6828.23</v>
      </c>
      <c r="K1717" s="33"/>
      <c r="M1717"/>
      <c r="N1717"/>
      <c r="O1717"/>
      <c r="P1717"/>
      <c r="Q1717"/>
    </row>
    <row r="1718" spans="1:33" ht="14.25" x14ac:dyDescent="0.2">
      <c r="A1718" s="31"/>
      <c r="B1718" s="31"/>
      <c r="C1718" s="31" t="s">
        <v>42</v>
      </c>
      <c r="D1718" s="32" t="s">
        <v>43</v>
      </c>
      <c r="E1718" s="4">
        <f>[1]Source!AQ1458</f>
        <v>3.36</v>
      </c>
      <c r="F1718" s="33"/>
      <c r="G1718" s="34" t="str">
        <f>[1]Source!DI1458</f>
        <v>)*1*10</v>
      </c>
      <c r="H1718" s="4">
        <f>[1]Source!AV1458</f>
        <v>1</v>
      </c>
      <c r="I1718" s="4"/>
      <c r="J1718" s="33"/>
      <c r="K1718" s="33">
        <f>[1]Source!U1458</f>
        <v>246.22080000000003</v>
      </c>
      <c r="M1718"/>
      <c r="N1718"/>
      <c r="O1718"/>
      <c r="P1718"/>
      <c r="Q1718"/>
    </row>
    <row r="1719" spans="1:33" ht="15" x14ac:dyDescent="0.25">
      <c r="A1719" s="35"/>
      <c r="B1719" s="35"/>
      <c r="C1719" s="35"/>
      <c r="D1719" s="35"/>
      <c r="E1719" s="35"/>
      <c r="F1719" s="35"/>
      <c r="G1719" s="35"/>
      <c r="H1719" s="35"/>
      <c r="I1719" s="36">
        <f>J1715+J1716+J1717</f>
        <v>122908.14</v>
      </c>
      <c r="J1719" s="36"/>
      <c r="K1719" s="37">
        <f>IF([1]Source!I1458&lt;&gt;0, ROUND(I1719/[1]Source!I1458, 2), 0)</f>
        <v>16772.400000000001</v>
      </c>
      <c r="M1719"/>
      <c r="N1719"/>
      <c r="O1719"/>
      <c r="P1719"/>
      <c r="Q1719"/>
      <c r="AA1719" s="38">
        <f>I1719</f>
        <v>122908.14</v>
      </c>
    </row>
    <row r="1720" spans="1:33" ht="57" x14ac:dyDescent="0.2">
      <c r="A1720" s="31">
        <v>244</v>
      </c>
      <c r="B1720" s="31" t="str">
        <f>[1]Source!F1459</f>
        <v>5.3-1102-27-2/1</v>
      </c>
      <c r="C1720" s="31" t="str">
        <f>[1]Source!G1459</f>
        <v>Очистка лотков с решетками от наледи, добавлять к 3-1102-27-1 на каждые 100 см2 изменения сечения лотка</v>
      </c>
      <c r="D1720" s="32" t="str">
        <f>[1]Source!H1459</f>
        <v>10 м</v>
      </c>
      <c r="E1720" s="4">
        <f>[1]Source!I1459</f>
        <v>7.3280000000000003</v>
      </c>
      <c r="F1720" s="33"/>
      <c r="G1720" s="34"/>
      <c r="H1720" s="4"/>
      <c r="I1720" s="4"/>
      <c r="J1720" s="33"/>
      <c r="K1720" s="33"/>
      <c r="M1720"/>
      <c r="N1720"/>
      <c r="O1720"/>
      <c r="P1720"/>
      <c r="Q1720"/>
      <c r="AB1720">
        <f>ROUND(([1]Source!BZ1459/100)*ROUND(([1]Source!AF1459*[1]Source!AV1459)*[1]Source!I1459, 2), 2)</f>
        <v>206551.55</v>
      </c>
      <c r="AC1720">
        <f>[1]Source!X1459</f>
        <v>206551.55</v>
      </c>
      <c r="AD1720">
        <f>ROUND(([1]Source!CA1459/100)*ROUND(([1]Source!AF1459*[1]Source!AV1459)*[1]Source!I1459, 2), 2)</f>
        <v>29507.360000000001</v>
      </c>
      <c r="AE1720">
        <f>[1]Source!Y1459</f>
        <v>29507.360000000001</v>
      </c>
      <c r="AF1720">
        <f>ROUND((175/100)*ROUND(([1]Source!AE1459*[1]Source!AV1459)*[1]Source!I1459, 2), 2)</f>
        <v>0</v>
      </c>
      <c r="AG1720">
        <f>ROUND((108/100)*ROUND([1]Source!CS1459*[1]Source!I1459, 2), 2)</f>
        <v>0</v>
      </c>
    </row>
    <row r="1721" spans="1:33" x14ac:dyDescent="0.2">
      <c r="C1721" s="40" t="str">
        <f>"Объем: "&amp;[1]Source!I1459&amp;"=73,28/"&amp;"10"</f>
        <v>Объем: 7,328=73,28/10</v>
      </c>
      <c r="M1721"/>
      <c r="N1721"/>
      <c r="O1721"/>
      <c r="P1721"/>
      <c r="Q1721"/>
    </row>
    <row r="1722" spans="1:33" ht="14.25" x14ac:dyDescent="0.2">
      <c r="A1722" s="31"/>
      <c r="B1722" s="31"/>
      <c r="C1722" s="31" t="s">
        <v>34</v>
      </c>
      <c r="D1722" s="32"/>
      <c r="E1722" s="4"/>
      <c r="F1722" s="33">
        <f>[1]Source!AO1459</f>
        <v>366.06</v>
      </c>
      <c r="G1722" s="34" t="str">
        <f>[1]Source!DG1459</f>
        <v>)*1*11*10</v>
      </c>
      <c r="H1722" s="4">
        <f>[1]Source!AV1459</f>
        <v>1</v>
      </c>
      <c r="I1722" s="4">
        <f>IF([1]Source!BA1459&lt;&gt; 0, [1]Source!BA1459, 1)</f>
        <v>1</v>
      </c>
      <c r="J1722" s="33">
        <f>[1]Source!S1459</f>
        <v>295073.64</v>
      </c>
      <c r="K1722" s="33"/>
      <c r="M1722"/>
      <c r="N1722"/>
      <c r="O1722"/>
      <c r="P1722"/>
      <c r="Q1722"/>
    </row>
    <row r="1723" spans="1:33" ht="14.25" x14ac:dyDescent="0.2">
      <c r="A1723" s="31"/>
      <c r="B1723" s="31"/>
      <c r="C1723" s="31" t="s">
        <v>40</v>
      </c>
      <c r="D1723" s="32" t="s">
        <v>39</v>
      </c>
      <c r="E1723" s="4">
        <f>[1]Source!AT1459</f>
        <v>70</v>
      </c>
      <c r="F1723" s="33"/>
      <c r="G1723" s="34"/>
      <c r="H1723" s="4"/>
      <c r="I1723" s="4"/>
      <c r="J1723" s="33">
        <f>SUM(AC1720:AC1722)</f>
        <v>206551.55</v>
      </c>
      <c r="K1723" s="33"/>
      <c r="M1723"/>
      <c r="N1723"/>
      <c r="O1723"/>
      <c r="P1723"/>
      <c r="Q1723"/>
    </row>
    <row r="1724" spans="1:33" ht="14.25" x14ac:dyDescent="0.2">
      <c r="A1724" s="31"/>
      <c r="B1724" s="31"/>
      <c r="C1724" s="31" t="s">
        <v>41</v>
      </c>
      <c r="D1724" s="32" t="s">
        <v>39</v>
      </c>
      <c r="E1724" s="4">
        <f>[1]Source!AU1459</f>
        <v>10</v>
      </c>
      <c r="F1724" s="33"/>
      <c r="G1724" s="34"/>
      <c r="H1724" s="4"/>
      <c r="I1724" s="4"/>
      <c r="J1724" s="33">
        <f>SUM(AE1720:AE1723)</f>
        <v>29507.360000000001</v>
      </c>
      <c r="K1724" s="33"/>
      <c r="M1724"/>
      <c r="N1724"/>
      <c r="O1724"/>
      <c r="P1724"/>
      <c r="Q1724"/>
    </row>
    <row r="1725" spans="1:33" ht="14.25" x14ac:dyDescent="0.2">
      <c r="A1725" s="31"/>
      <c r="B1725" s="31"/>
      <c r="C1725" s="31" t="s">
        <v>42</v>
      </c>
      <c r="D1725" s="32" t="s">
        <v>43</v>
      </c>
      <c r="E1725" s="4">
        <f>[1]Source!AQ1459</f>
        <v>1.32</v>
      </c>
      <c r="F1725" s="33"/>
      <c r="G1725" s="34" t="str">
        <f>[1]Source!DI1459</f>
        <v>)*1*11*10</v>
      </c>
      <c r="H1725" s="4">
        <f>[1]Source!AV1459</f>
        <v>1</v>
      </c>
      <c r="I1725" s="4"/>
      <c r="J1725" s="33"/>
      <c r="K1725" s="33">
        <f>[1]Source!U1459</f>
        <v>1064.0256000000002</v>
      </c>
      <c r="M1725"/>
      <c r="N1725"/>
      <c r="O1725"/>
      <c r="P1725"/>
      <c r="Q1725"/>
    </row>
    <row r="1726" spans="1:33" ht="15" x14ac:dyDescent="0.25">
      <c r="A1726" s="35"/>
      <c r="B1726" s="35"/>
      <c r="C1726" s="35"/>
      <c r="D1726" s="35"/>
      <c r="E1726" s="35"/>
      <c r="F1726" s="35"/>
      <c r="G1726" s="35"/>
      <c r="H1726" s="35"/>
      <c r="I1726" s="36">
        <f>J1722+J1723+J1724</f>
        <v>531132.55000000005</v>
      </c>
      <c r="J1726" s="36"/>
      <c r="K1726" s="37">
        <f>IF([1]Source!I1459&lt;&gt;0, ROUND(I1726/[1]Source!I1459, 2), 0)</f>
        <v>72479.88</v>
      </c>
      <c r="M1726"/>
      <c r="N1726"/>
      <c r="O1726"/>
      <c r="P1726"/>
      <c r="Q1726"/>
      <c r="AA1726" s="38">
        <f>I1726</f>
        <v>531132.55000000005</v>
      </c>
    </row>
    <row r="1727" spans="1:33" ht="57" x14ac:dyDescent="0.2">
      <c r="A1727" s="31">
        <v>245</v>
      </c>
      <c r="B1727" s="31" t="str">
        <f>[1]Source!F1460</f>
        <v>5.3-1102-27-1/1</v>
      </c>
      <c r="C1727" s="31" t="str">
        <f>[1]Source!G1460</f>
        <v>Очистка лотков с решетками от наледи, сечение лотка 100 см2, количество креплений решеток 20 шт.( сечение 2400 см2)</v>
      </c>
      <c r="D1727" s="32" t="str">
        <f>[1]Source!H1460</f>
        <v>10 м</v>
      </c>
      <c r="E1727" s="4">
        <f>[1]Source!I1460</f>
        <v>6.35</v>
      </c>
      <c r="F1727" s="33"/>
      <c r="G1727" s="34"/>
      <c r="H1727" s="4"/>
      <c r="I1727" s="4"/>
      <c r="J1727" s="33"/>
      <c r="K1727" s="33"/>
      <c r="M1727"/>
      <c r="N1727"/>
      <c r="O1727"/>
      <c r="P1727"/>
      <c r="Q1727"/>
      <c r="AB1727">
        <f>ROUND(([1]Source!BZ1460/100)*ROUND(([1]Source!AF1460*[1]Source!AV1460)*[1]Source!I1460, 2), 2)</f>
        <v>41418.51</v>
      </c>
      <c r="AC1727">
        <f>[1]Source!X1460</f>
        <v>41418.51</v>
      </c>
      <c r="AD1727">
        <f>ROUND(([1]Source!CA1460/100)*ROUND(([1]Source!AF1460*[1]Source!AV1460)*[1]Source!I1460, 2), 2)</f>
        <v>5916.93</v>
      </c>
      <c r="AE1727">
        <f>[1]Source!Y1460</f>
        <v>5916.93</v>
      </c>
      <c r="AF1727">
        <f>ROUND((175/100)*ROUND(([1]Source!AE1460*[1]Source!AV1460)*[1]Source!I1460, 2), 2)</f>
        <v>0</v>
      </c>
      <c r="AG1727">
        <f>ROUND((108/100)*ROUND([1]Source!CS1460*[1]Source!I1460, 2), 2)</f>
        <v>0</v>
      </c>
    </row>
    <row r="1728" spans="1:33" x14ac:dyDescent="0.2">
      <c r="C1728" s="40" t="str">
        <f>"Объем: "&amp;[1]Source!I1460&amp;"=63,5/"&amp;"10"</f>
        <v>Объем: 6,35=63,5/10</v>
      </c>
      <c r="M1728"/>
      <c r="N1728"/>
      <c r="O1728"/>
      <c r="P1728"/>
      <c r="Q1728"/>
    </row>
    <row r="1729" spans="1:33" ht="14.25" x14ac:dyDescent="0.2">
      <c r="A1729" s="31"/>
      <c r="B1729" s="31"/>
      <c r="C1729" s="31" t="s">
        <v>34</v>
      </c>
      <c r="D1729" s="32"/>
      <c r="E1729" s="4"/>
      <c r="F1729" s="33">
        <f>[1]Source!AO1460</f>
        <v>931.8</v>
      </c>
      <c r="G1729" s="34" t="str">
        <f>[1]Source!DG1460</f>
        <v>)*1*10</v>
      </c>
      <c r="H1729" s="4">
        <f>[1]Source!AV1460</f>
        <v>1</v>
      </c>
      <c r="I1729" s="4">
        <f>IF([1]Source!BA1460&lt;&gt; 0, [1]Source!BA1460, 1)</f>
        <v>1</v>
      </c>
      <c r="J1729" s="33">
        <f>[1]Source!S1460</f>
        <v>59169.3</v>
      </c>
      <c r="K1729" s="33"/>
      <c r="M1729"/>
      <c r="N1729"/>
      <c r="O1729"/>
      <c r="P1729"/>
      <c r="Q1729"/>
    </row>
    <row r="1730" spans="1:33" ht="14.25" x14ac:dyDescent="0.2">
      <c r="A1730" s="31"/>
      <c r="B1730" s="31"/>
      <c r="C1730" s="31" t="s">
        <v>40</v>
      </c>
      <c r="D1730" s="32" t="s">
        <v>39</v>
      </c>
      <c r="E1730" s="4">
        <f>[1]Source!AT1460</f>
        <v>70</v>
      </c>
      <c r="F1730" s="33"/>
      <c r="G1730" s="34"/>
      <c r="H1730" s="4"/>
      <c r="I1730" s="4"/>
      <c r="J1730" s="33">
        <f>SUM(AC1727:AC1729)</f>
        <v>41418.51</v>
      </c>
      <c r="K1730" s="33"/>
      <c r="M1730"/>
      <c r="N1730"/>
      <c r="O1730"/>
      <c r="P1730"/>
      <c r="Q1730"/>
    </row>
    <row r="1731" spans="1:33" ht="14.25" x14ac:dyDescent="0.2">
      <c r="A1731" s="31"/>
      <c r="B1731" s="31"/>
      <c r="C1731" s="31" t="s">
        <v>41</v>
      </c>
      <c r="D1731" s="32" t="s">
        <v>39</v>
      </c>
      <c r="E1731" s="4">
        <f>[1]Source!AU1460</f>
        <v>10</v>
      </c>
      <c r="F1731" s="33"/>
      <c r="G1731" s="34"/>
      <c r="H1731" s="4"/>
      <c r="I1731" s="4"/>
      <c r="J1731" s="33">
        <f>SUM(AE1727:AE1730)</f>
        <v>5916.93</v>
      </c>
      <c r="K1731" s="33"/>
      <c r="M1731"/>
      <c r="N1731"/>
      <c r="O1731"/>
      <c r="P1731"/>
      <c r="Q1731"/>
    </row>
    <row r="1732" spans="1:33" ht="14.25" x14ac:dyDescent="0.2">
      <c r="A1732" s="31"/>
      <c r="B1732" s="31"/>
      <c r="C1732" s="31" t="s">
        <v>42</v>
      </c>
      <c r="D1732" s="32" t="s">
        <v>43</v>
      </c>
      <c r="E1732" s="4">
        <f>[1]Source!AQ1460</f>
        <v>3.36</v>
      </c>
      <c r="F1732" s="33"/>
      <c r="G1732" s="34" t="str">
        <f>[1]Source!DI1460</f>
        <v>)*1*10</v>
      </c>
      <c r="H1732" s="4">
        <f>[1]Source!AV1460</f>
        <v>1</v>
      </c>
      <c r="I1732" s="4"/>
      <c r="J1732" s="33"/>
      <c r="K1732" s="33">
        <f>[1]Source!U1460</f>
        <v>213.35999999999999</v>
      </c>
      <c r="M1732"/>
      <c r="N1732"/>
      <c r="O1732"/>
      <c r="P1732"/>
      <c r="Q1732"/>
    </row>
    <row r="1733" spans="1:33" ht="15" x14ac:dyDescent="0.25">
      <c r="A1733" s="35"/>
      <c r="B1733" s="35"/>
      <c r="C1733" s="35"/>
      <c r="D1733" s="35"/>
      <c r="E1733" s="35"/>
      <c r="F1733" s="35"/>
      <c r="G1733" s="35"/>
      <c r="H1733" s="35"/>
      <c r="I1733" s="36">
        <f>J1729+J1730+J1731</f>
        <v>106504.73999999999</v>
      </c>
      <c r="J1733" s="36"/>
      <c r="K1733" s="37">
        <f>IF([1]Source!I1460&lt;&gt;0, ROUND(I1733/[1]Source!I1460, 2), 0)</f>
        <v>16772.400000000001</v>
      </c>
      <c r="M1733"/>
      <c r="N1733"/>
      <c r="O1733"/>
      <c r="P1733"/>
      <c r="Q1733"/>
      <c r="AA1733" s="38">
        <f>I1733</f>
        <v>106504.73999999999</v>
      </c>
    </row>
    <row r="1734" spans="1:33" ht="57" x14ac:dyDescent="0.2">
      <c r="A1734" s="31">
        <v>246</v>
      </c>
      <c r="B1734" s="31" t="str">
        <f>[1]Source!F1461</f>
        <v>5.3-1102-27-2/1</v>
      </c>
      <c r="C1734" s="31" t="str">
        <f>[1]Source!G1461</f>
        <v>Очистка лотков с решетками от наледи, добавлять к 3-1102-27-1 на каждые 100 см2 изменения сечения лотка</v>
      </c>
      <c r="D1734" s="32" t="str">
        <f>[1]Source!H1461</f>
        <v>10 м</v>
      </c>
      <c r="E1734" s="4">
        <f>[1]Source!I1461</f>
        <v>6.35</v>
      </c>
      <c r="F1734" s="33"/>
      <c r="G1734" s="34"/>
      <c r="H1734" s="4"/>
      <c r="I1734" s="4"/>
      <c r="J1734" s="33"/>
      <c r="K1734" s="33"/>
      <c r="M1734"/>
      <c r="N1734"/>
      <c r="O1734"/>
      <c r="P1734"/>
      <c r="Q1734"/>
      <c r="AB1734">
        <f>ROUND(([1]Source!BZ1461/100)*ROUND(([1]Source!AF1461*[1]Source!AV1461)*[1]Source!I1461, 2), 2)</f>
        <v>374241.44</v>
      </c>
      <c r="AC1734">
        <f>[1]Source!X1461</f>
        <v>374241.44</v>
      </c>
      <c r="AD1734">
        <f>ROUND(([1]Source!CA1461/100)*ROUND(([1]Source!AF1461*[1]Source!AV1461)*[1]Source!I1461, 2), 2)</f>
        <v>53463.06</v>
      </c>
      <c r="AE1734">
        <f>[1]Source!Y1461</f>
        <v>53463.06</v>
      </c>
      <c r="AF1734">
        <f>ROUND((175/100)*ROUND(([1]Source!AE1461*[1]Source!AV1461)*[1]Source!I1461, 2), 2)</f>
        <v>0</v>
      </c>
      <c r="AG1734">
        <f>ROUND((108/100)*ROUND([1]Source!CS1461*[1]Source!I1461, 2), 2)</f>
        <v>0</v>
      </c>
    </row>
    <row r="1735" spans="1:33" x14ac:dyDescent="0.2">
      <c r="C1735" s="40" t="str">
        <f>"Объем: "&amp;[1]Source!I1461&amp;"=63,5/"&amp;"10"</f>
        <v>Объем: 6,35=63,5/10</v>
      </c>
      <c r="M1735"/>
      <c r="N1735"/>
      <c r="O1735"/>
      <c r="P1735"/>
      <c r="Q1735"/>
    </row>
    <row r="1736" spans="1:33" ht="14.25" x14ac:dyDescent="0.2">
      <c r="A1736" s="31"/>
      <c r="B1736" s="31"/>
      <c r="C1736" s="31" t="s">
        <v>34</v>
      </c>
      <c r="D1736" s="32"/>
      <c r="E1736" s="4"/>
      <c r="F1736" s="33">
        <f>[1]Source!AO1461</f>
        <v>366.06</v>
      </c>
      <c r="G1736" s="34" t="str">
        <f>[1]Source!DG1461</f>
        <v>)*1*23*10</v>
      </c>
      <c r="H1736" s="4">
        <f>[1]Source!AV1461</f>
        <v>1</v>
      </c>
      <c r="I1736" s="4">
        <f>IF([1]Source!BA1461&lt;&gt; 0, [1]Source!BA1461, 1)</f>
        <v>1</v>
      </c>
      <c r="J1736" s="33">
        <f>[1]Source!S1461</f>
        <v>534630.63</v>
      </c>
      <c r="K1736" s="33"/>
      <c r="M1736"/>
      <c r="N1736"/>
      <c r="O1736"/>
      <c r="P1736"/>
      <c r="Q1736"/>
    </row>
    <row r="1737" spans="1:33" ht="14.25" x14ac:dyDescent="0.2">
      <c r="A1737" s="31"/>
      <c r="B1737" s="31"/>
      <c r="C1737" s="31" t="s">
        <v>40</v>
      </c>
      <c r="D1737" s="32" t="s">
        <v>39</v>
      </c>
      <c r="E1737" s="4">
        <f>[1]Source!AT1461</f>
        <v>70</v>
      </c>
      <c r="F1737" s="33"/>
      <c r="G1737" s="34"/>
      <c r="H1737" s="4"/>
      <c r="I1737" s="4"/>
      <c r="J1737" s="33">
        <f>SUM(AC1734:AC1736)</f>
        <v>374241.44</v>
      </c>
      <c r="K1737" s="33"/>
      <c r="M1737"/>
      <c r="N1737"/>
      <c r="O1737"/>
      <c r="P1737"/>
      <c r="Q1737"/>
    </row>
    <row r="1738" spans="1:33" ht="14.25" x14ac:dyDescent="0.2">
      <c r="A1738" s="31"/>
      <c r="B1738" s="31"/>
      <c r="C1738" s="31" t="s">
        <v>41</v>
      </c>
      <c r="D1738" s="32" t="s">
        <v>39</v>
      </c>
      <c r="E1738" s="4">
        <f>[1]Source!AU1461</f>
        <v>10</v>
      </c>
      <c r="F1738" s="33"/>
      <c r="G1738" s="34"/>
      <c r="H1738" s="4"/>
      <c r="I1738" s="4"/>
      <c r="J1738" s="33">
        <f>SUM(AE1734:AE1737)</f>
        <v>53463.06</v>
      </c>
      <c r="K1738" s="33"/>
      <c r="M1738"/>
      <c r="N1738"/>
      <c r="O1738"/>
      <c r="P1738"/>
      <c r="Q1738"/>
    </row>
    <row r="1739" spans="1:33" ht="14.25" x14ac:dyDescent="0.2">
      <c r="A1739" s="31"/>
      <c r="B1739" s="31"/>
      <c r="C1739" s="31" t="s">
        <v>42</v>
      </c>
      <c r="D1739" s="32" t="s">
        <v>43</v>
      </c>
      <c r="E1739" s="4">
        <f>[1]Source!AQ1461</f>
        <v>1.32</v>
      </c>
      <c r="F1739" s="33"/>
      <c r="G1739" s="34" t="str">
        <f>[1]Source!DI1461</f>
        <v>)*1*23*10</v>
      </c>
      <c r="H1739" s="4">
        <f>[1]Source!AV1461</f>
        <v>1</v>
      </c>
      <c r="I1739" s="4"/>
      <c r="J1739" s="33"/>
      <c r="K1739" s="33">
        <f>[1]Source!U1461</f>
        <v>1927.8600000000001</v>
      </c>
      <c r="M1739"/>
      <c r="N1739"/>
      <c r="O1739"/>
      <c r="P1739"/>
      <c r="Q1739"/>
    </row>
    <row r="1740" spans="1:33" ht="15" x14ac:dyDescent="0.25">
      <c r="A1740" s="35"/>
      <c r="B1740" s="35"/>
      <c r="C1740" s="35"/>
      <c r="D1740" s="35"/>
      <c r="E1740" s="35"/>
      <c r="F1740" s="35"/>
      <c r="G1740" s="35"/>
      <c r="H1740" s="35"/>
      <c r="I1740" s="36">
        <f>J1736+J1737+J1738</f>
        <v>962335.13000000012</v>
      </c>
      <c r="J1740" s="36"/>
      <c r="K1740" s="37">
        <f>IF([1]Source!I1461&lt;&gt;0, ROUND(I1740/[1]Source!I1461, 2), 0)</f>
        <v>151548.84</v>
      </c>
      <c r="M1740"/>
      <c r="N1740"/>
      <c r="O1740"/>
      <c r="P1740"/>
      <c r="Q1740"/>
      <c r="AA1740" s="38">
        <f>I1740</f>
        <v>962335.13000000012</v>
      </c>
    </row>
    <row r="1741" spans="1:33" ht="42.75" x14ac:dyDescent="0.2">
      <c r="A1741" s="31">
        <v>247</v>
      </c>
      <c r="B1741" s="31" t="str">
        <f>[1]Source!F1462</f>
        <v>5.3-1102-27-3/1</v>
      </c>
      <c r="C1741" s="31" t="str">
        <f>[1]Source!G1462</f>
        <v>Очистка лотков с решетками от наледи, добавлять к 3-1102-27-1 на каждые 10 креплений решеток</v>
      </c>
      <c r="D1741" s="32" t="str">
        <f>[1]Source!H1462</f>
        <v>10 шт.</v>
      </c>
      <c r="E1741" s="4">
        <f>[1]Source!I1462</f>
        <v>182.52</v>
      </c>
      <c r="F1741" s="33"/>
      <c r="G1741" s="34"/>
      <c r="H1741" s="4"/>
      <c r="I1741" s="4"/>
      <c r="J1741" s="33"/>
      <c r="K1741" s="33"/>
      <c r="M1741"/>
      <c r="N1741"/>
      <c r="O1741"/>
      <c r="P1741"/>
      <c r="Q1741"/>
      <c r="AB1741">
        <f>ROUND(([1]Source!BZ1462/100)*ROUND(([1]Source!AF1462*[1]Source!AV1462)*[1]Source!I1462, 2), 2)</f>
        <v>127559.58</v>
      </c>
      <c r="AC1741">
        <f>[1]Source!X1462</f>
        <v>127559.58</v>
      </c>
      <c r="AD1741">
        <f>ROUND(([1]Source!CA1462/100)*ROUND(([1]Source!AF1462*[1]Source!AV1462)*[1]Source!I1462, 2), 2)</f>
        <v>18222.8</v>
      </c>
      <c r="AE1741">
        <f>[1]Source!Y1462</f>
        <v>18222.8</v>
      </c>
      <c r="AF1741">
        <f>ROUND((175/100)*ROUND(([1]Source!AE1462*[1]Source!AV1462)*[1]Source!I1462, 2), 2)</f>
        <v>0</v>
      </c>
      <c r="AG1741">
        <f>ROUND((108/100)*ROUND([1]Source!CS1462*[1]Source!I1462, 2), 2)</f>
        <v>0</v>
      </c>
    </row>
    <row r="1742" spans="1:33" x14ac:dyDescent="0.2">
      <c r="C1742" s="40" t="str">
        <f>"Объем: "&amp;[1]Source!I1462&amp;"=1825,2/"&amp;"10"</f>
        <v>Объем: 182,52=1825,2/10</v>
      </c>
      <c r="M1742"/>
      <c r="N1742"/>
      <c r="O1742"/>
      <c r="P1742"/>
      <c r="Q1742"/>
    </row>
    <row r="1743" spans="1:33" ht="14.25" x14ac:dyDescent="0.2">
      <c r="A1743" s="31"/>
      <c r="B1743" s="31"/>
      <c r="C1743" s="31" t="s">
        <v>34</v>
      </c>
      <c r="D1743" s="32"/>
      <c r="E1743" s="4"/>
      <c r="F1743" s="33">
        <f>[1]Source!AO1462</f>
        <v>99.84</v>
      </c>
      <c r="G1743" s="34" t="str">
        <f>[1]Source!DG1462</f>
        <v>)*1*10</v>
      </c>
      <c r="H1743" s="4">
        <f>[1]Source!AV1462</f>
        <v>1</v>
      </c>
      <c r="I1743" s="4">
        <f>IF([1]Source!BA1462&lt;&gt; 0, [1]Source!BA1462, 1)</f>
        <v>1</v>
      </c>
      <c r="J1743" s="33">
        <f>[1]Source!S1462</f>
        <v>182227.97</v>
      </c>
      <c r="K1743" s="33"/>
      <c r="M1743"/>
      <c r="N1743"/>
      <c r="O1743"/>
      <c r="P1743"/>
      <c r="Q1743"/>
    </row>
    <row r="1744" spans="1:33" ht="14.25" x14ac:dyDescent="0.2">
      <c r="A1744" s="31"/>
      <c r="B1744" s="31"/>
      <c r="C1744" s="31" t="s">
        <v>40</v>
      </c>
      <c r="D1744" s="32" t="s">
        <v>39</v>
      </c>
      <c r="E1744" s="4">
        <f>[1]Source!AT1462</f>
        <v>70</v>
      </c>
      <c r="F1744" s="33"/>
      <c r="G1744" s="34"/>
      <c r="H1744" s="4"/>
      <c r="I1744" s="4"/>
      <c r="J1744" s="33">
        <f>SUM(AC1741:AC1743)</f>
        <v>127559.58</v>
      </c>
      <c r="K1744" s="33"/>
      <c r="M1744"/>
      <c r="N1744"/>
      <c r="O1744"/>
      <c r="P1744"/>
      <c r="Q1744"/>
    </row>
    <row r="1745" spans="1:33" ht="14.25" x14ac:dyDescent="0.2">
      <c r="A1745" s="31"/>
      <c r="B1745" s="31"/>
      <c r="C1745" s="31" t="s">
        <v>41</v>
      </c>
      <c r="D1745" s="32" t="s">
        <v>39</v>
      </c>
      <c r="E1745" s="4">
        <f>[1]Source!AU1462</f>
        <v>10</v>
      </c>
      <c r="F1745" s="33"/>
      <c r="G1745" s="34"/>
      <c r="H1745" s="4"/>
      <c r="I1745" s="4"/>
      <c r="J1745" s="33">
        <f>SUM(AE1741:AE1744)</f>
        <v>18222.8</v>
      </c>
      <c r="K1745" s="33"/>
      <c r="M1745"/>
      <c r="N1745"/>
      <c r="O1745"/>
      <c r="P1745"/>
      <c r="Q1745"/>
    </row>
    <row r="1746" spans="1:33" ht="14.25" x14ac:dyDescent="0.2">
      <c r="A1746" s="31"/>
      <c r="B1746" s="31"/>
      <c r="C1746" s="31" t="s">
        <v>42</v>
      </c>
      <c r="D1746" s="32" t="s">
        <v>43</v>
      </c>
      <c r="E1746" s="4">
        <f>[1]Source!AQ1462</f>
        <v>0.36</v>
      </c>
      <c r="F1746" s="33"/>
      <c r="G1746" s="34" t="str">
        <f>[1]Source!DI1462</f>
        <v>)*1*10</v>
      </c>
      <c r="H1746" s="4">
        <f>[1]Source!AV1462</f>
        <v>1</v>
      </c>
      <c r="I1746" s="4"/>
      <c r="J1746" s="33"/>
      <c r="K1746" s="33">
        <f>[1]Source!U1462</f>
        <v>657.072</v>
      </c>
      <c r="M1746"/>
      <c r="N1746"/>
      <c r="O1746"/>
      <c r="P1746"/>
      <c r="Q1746"/>
    </row>
    <row r="1747" spans="1:33" ht="15" x14ac:dyDescent="0.25">
      <c r="A1747" s="35"/>
      <c r="B1747" s="35"/>
      <c r="C1747" s="35"/>
      <c r="D1747" s="35"/>
      <c r="E1747" s="35"/>
      <c r="F1747" s="35"/>
      <c r="G1747" s="35"/>
      <c r="H1747" s="35"/>
      <c r="I1747" s="36">
        <f>J1743+J1744+J1745</f>
        <v>328010.34999999998</v>
      </c>
      <c r="J1747" s="36"/>
      <c r="K1747" s="37">
        <f>IF([1]Source!I1462&lt;&gt;0, ROUND(I1747/[1]Source!I1462, 2), 0)</f>
        <v>1797.12</v>
      </c>
      <c r="M1747"/>
      <c r="N1747"/>
      <c r="O1747"/>
      <c r="P1747"/>
      <c r="Q1747"/>
      <c r="AA1747" s="38">
        <f>I1747</f>
        <v>328010.34999999998</v>
      </c>
    </row>
    <row r="1748" spans="1:33" x14ac:dyDescent="0.2">
      <c r="M1748"/>
      <c r="N1748"/>
      <c r="O1748"/>
      <c r="P1748"/>
      <c r="Q1748"/>
    </row>
    <row r="1749" spans="1:33" ht="15" x14ac:dyDescent="0.25">
      <c r="A1749" s="42" t="str">
        <f>CONCATENATE("Итого по разделу: ",IF([1]Source!G1464&lt;&gt;"Новый раздел", [1]Source!G1464, ""))</f>
        <v>Итого по разделу: Уход за водотводными лотками.( 1480,34 м )</v>
      </c>
      <c r="B1749" s="42"/>
      <c r="C1749" s="42"/>
      <c r="D1749" s="42"/>
      <c r="E1749" s="42"/>
      <c r="F1749" s="42"/>
      <c r="G1749" s="42"/>
      <c r="H1749" s="42"/>
      <c r="I1749" s="43">
        <f>SUM(AA1271:AA1748)</f>
        <v>8042954.5299999993</v>
      </c>
      <c r="J1749" s="44"/>
      <c r="K1749" s="47"/>
      <c r="L1749" s="38">
        <f>I1749</f>
        <v>8042954.5299999993</v>
      </c>
      <c r="M1749" s="2">
        <f>ROUND(I1749*$I$4874,2)</f>
        <v>5808676.8399999999</v>
      </c>
      <c r="N1749" s="2">
        <f>ROUND(M1749*1.2/105*100,2)</f>
        <v>6638487.8200000003</v>
      </c>
      <c r="O1749" s="2">
        <f>ROUND(N1749*0.05,2)</f>
        <v>331924.39</v>
      </c>
      <c r="P1749" s="2">
        <f>N1749+O1749</f>
        <v>6970412.21</v>
      </c>
      <c r="Q1749" s="3">
        <v>51</v>
      </c>
      <c r="R1749">
        <v>2</v>
      </c>
      <c r="S1749" s="2">
        <v>1007002.19</v>
      </c>
    </row>
    <row r="1750" spans="1:33" x14ac:dyDescent="0.2">
      <c r="M1750"/>
      <c r="N1750"/>
      <c r="O1750"/>
      <c r="P1750"/>
      <c r="Q1750"/>
    </row>
    <row r="1751" spans="1:33" x14ac:dyDescent="0.2">
      <c r="M1751"/>
      <c r="N1751"/>
      <c r="O1751"/>
      <c r="P1751"/>
      <c r="Q1751"/>
    </row>
    <row r="1752" spans="1:33" ht="16.5" x14ac:dyDescent="0.25">
      <c r="A1752" s="29" t="str">
        <f>CONCATENATE("Раздел: ",IF([1]Source!G1494&lt;&gt;"Новый раздел", [1]Source!G1494, ""))</f>
        <v>Раздел: Содержание информационных стендов и указателей( 73 шт.)</v>
      </c>
      <c r="B1752" s="29"/>
      <c r="C1752" s="29"/>
      <c r="D1752" s="29"/>
      <c r="E1752" s="29"/>
      <c r="F1752" s="29"/>
      <c r="G1752" s="29"/>
      <c r="H1752" s="29"/>
      <c r="I1752" s="29"/>
      <c r="J1752" s="29"/>
      <c r="K1752" s="29"/>
      <c r="M1752"/>
      <c r="N1752"/>
      <c r="O1752"/>
      <c r="P1752"/>
      <c r="Q1752"/>
    </row>
    <row r="1753" spans="1:33" ht="28.5" x14ac:dyDescent="0.2">
      <c r="A1753" s="31">
        <v>248</v>
      </c>
      <c r="B1753" s="31" t="str">
        <f>[1]Source!F1498</f>
        <v>5.3-1102-6-1/1</v>
      </c>
      <c r="C1753" s="31" t="str">
        <f>[1]Source!G1498</f>
        <v>Очистка от снега информационных щитов</v>
      </c>
      <c r="D1753" s="32" t="str">
        <f>[1]Source!H1498</f>
        <v>100 м2</v>
      </c>
      <c r="E1753" s="4">
        <f>[1]Source!I1498</f>
        <v>0.38100000000000001</v>
      </c>
      <c r="F1753" s="33"/>
      <c r="G1753" s="34"/>
      <c r="H1753" s="4"/>
      <c r="I1753" s="4"/>
      <c r="J1753" s="33"/>
      <c r="K1753" s="33"/>
      <c r="M1753"/>
      <c r="N1753"/>
      <c r="O1753"/>
      <c r="P1753"/>
      <c r="Q1753"/>
      <c r="AB1753">
        <f>ROUND(([1]Source!BZ1498/100)*ROUND(([1]Source!AF1498*[1]Source!AV1498)*[1]Source!I1498, 2), 2)</f>
        <v>2856.55</v>
      </c>
      <c r="AC1753">
        <f>[1]Source!X1498</f>
        <v>2856.55</v>
      </c>
      <c r="AD1753">
        <f>ROUND(([1]Source!CA1498/100)*ROUND(([1]Source!AF1498*[1]Source!AV1498)*[1]Source!I1498, 2), 2)</f>
        <v>408.08</v>
      </c>
      <c r="AE1753">
        <f>[1]Source!Y1498</f>
        <v>408.08</v>
      </c>
      <c r="AF1753">
        <f>ROUND((175/100)*ROUND(([1]Source!AE1498*[1]Source!AV1498)*[1]Source!I1498, 2), 2)</f>
        <v>0</v>
      </c>
      <c r="AG1753">
        <f>ROUND((108/100)*ROUND([1]Source!CS1498*[1]Source!I1498, 2), 2)</f>
        <v>0</v>
      </c>
    </row>
    <row r="1754" spans="1:33" x14ac:dyDescent="0.2">
      <c r="C1754" s="40" t="str">
        <f>"Объем: "&amp;[1]Source!I1498&amp;"=38,1/"&amp;"100"</f>
        <v>Объем: 0,381=38,1/100</v>
      </c>
      <c r="M1754"/>
      <c r="N1754"/>
      <c r="O1754"/>
      <c r="P1754"/>
      <c r="Q1754"/>
    </row>
    <row r="1755" spans="1:33" ht="14.25" x14ac:dyDescent="0.2">
      <c r="A1755" s="31"/>
      <c r="B1755" s="31"/>
      <c r="C1755" s="31" t="s">
        <v>34</v>
      </c>
      <c r="D1755" s="32"/>
      <c r="E1755" s="4"/>
      <c r="F1755" s="33">
        <f>[1]Source!AO1498</f>
        <v>223.14</v>
      </c>
      <c r="G1755" s="34" t="str">
        <f>[1]Source!DG1498</f>
        <v>)*1*48</v>
      </c>
      <c r="H1755" s="4">
        <f>[1]Source!AV1498</f>
        <v>1</v>
      </c>
      <c r="I1755" s="4">
        <f>IF([1]Source!BA1498&lt;&gt; 0, [1]Source!BA1498, 1)</f>
        <v>1</v>
      </c>
      <c r="J1755" s="33">
        <f>[1]Source!S1498</f>
        <v>4080.78</v>
      </c>
      <c r="K1755" s="33"/>
      <c r="M1755"/>
      <c r="N1755"/>
      <c r="O1755"/>
      <c r="P1755"/>
      <c r="Q1755"/>
    </row>
    <row r="1756" spans="1:33" ht="14.25" x14ac:dyDescent="0.2">
      <c r="A1756" s="31"/>
      <c r="B1756" s="31"/>
      <c r="C1756" s="31" t="s">
        <v>40</v>
      </c>
      <c r="D1756" s="32" t="s">
        <v>39</v>
      </c>
      <c r="E1756" s="4">
        <f>[1]Source!AT1498</f>
        <v>70</v>
      </c>
      <c r="F1756" s="33"/>
      <c r="G1756" s="34"/>
      <c r="H1756" s="4"/>
      <c r="I1756" s="4"/>
      <c r="J1756" s="33">
        <f>SUM(AC1753:AC1755)</f>
        <v>2856.55</v>
      </c>
      <c r="K1756" s="33"/>
      <c r="M1756"/>
      <c r="N1756"/>
      <c r="O1756"/>
      <c r="P1756"/>
      <c r="Q1756"/>
    </row>
    <row r="1757" spans="1:33" ht="14.25" x14ac:dyDescent="0.2">
      <c r="A1757" s="31"/>
      <c r="B1757" s="31"/>
      <c r="C1757" s="31" t="s">
        <v>41</v>
      </c>
      <c r="D1757" s="32" t="s">
        <v>39</v>
      </c>
      <c r="E1757" s="4">
        <f>[1]Source!AU1498</f>
        <v>10</v>
      </c>
      <c r="F1757" s="33"/>
      <c r="G1757" s="34"/>
      <c r="H1757" s="4"/>
      <c r="I1757" s="4"/>
      <c r="J1757" s="33">
        <f>SUM(AE1753:AE1756)</f>
        <v>408.08</v>
      </c>
      <c r="K1757" s="33"/>
      <c r="M1757"/>
      <c r="N1757"/>
      <c r="O1757"/>
      <c r="P1757"/>
      <c r="Q1757"/>
    </row>
    <row r="1758" spans="1:33" ht="14.25" x14ac:dyDescent="0.2">
      <c r="A1758" s="31"/>
      <c r="B1758" s="31"/>
      <c r="C1758" s="31" t="s">
        <v>42</v>
      </c>
      <c r="D1758" s="32" t="s">
        <v>43</v>
      </c>
      <c r="E1758" s="4">
        <f>[1]Source!AQ1498</f>
        <v>0.9</v>
      </c>
      <c r="F1758" s="33"/>
      <c r="G1758" s="34" t="str">
        <f>[1]Source!DI1498</f>
        <v>)*1*48</v>
      </c>
      <c r="H1758" s="4">
        <f>[1]Source!AV1498</f>
        <v>1</v>
      </c>
      <c r="I1758" s="4"/>
      <c r="J1758" s="33"/>
      <c r="K1758" s="33">
        <f>[1]Source!U1498</f>
        <v>16.459200000000003</v>
      </c>
      <c r="M1758"/>
      <c r="N1758"/>
      <c r="O1758"/>
      <c r="P1758"/>
      <c r="Q1758"/>
    </row>
    <row r="1759" spans="1:33" ht="15" x14ac:dyDescent="0.25">
      <c r="A1759" s="35"/>
      <c r="B1759" s="35"/>
      <c r="C1759" s="35"/>
      <c r="D1759" s="35"/>
      <c r="E1759" s="35"/>
      <c r="F1759" s="35"/>
      <c r="G1759" s="35"/>
      <c r="H1759" s="35"/>
      <c r="I1759" s="36">
        <f>J1755+J1756+J1757</f>
        <v>7345.41</v>
      </c>
      <c r="J1759" s="36"/>
      <c r="K1759" s="37">
        <f>IF([1]Source!I1498&lt;&gt;0, ROUND(I1759/[1]Source!I1498, 2), 0)</f>
        <v>19279.29</v>
      </c>
      <c r="M1759"/>
      <c r="N1759"/>
      <c r="O1759"/>
      <c r="P1759"/>
      <c r="Q1759"/>
      <c r="AA1759" s="38">
        <f>I1759</f>
        <v>7345.41</v>
      </c>
    </row>
    <row r="1760" spans="1:33" x14ac:dyDescent="0.2">
      <c r="M1760"/>
      <c r="N1760"/>
      <c r="O1760"/>
      <c r="P1760"/>
      <c r="Q1760"/>
    </row>
    <row r="1761" spans="1:33" ht="15" x14ac:dyDescent="0.25">
      <c r="A1761" s="42" t="str">
        <f>CONCATENATE("Итого по разделу: ",IF([1]Source!G1500&lt;&gt;"Новый раздел", [1]Source!G1500, ""))</f>
        <v>Итого по разделу: Содержание информационных стендов и указателей( 73 шт.)</v>
      </c>
      <c r="B1761" s="42"/>
      <c r="C1761" s="42"/>
      <c r="D1761" s="42"/>
      <c r="E1761" s="42"/>
      <c r="F1761" s="42"/>
      <c r="G1761" s="42"/>
      <c r="H1761" s="42"/>
      <c r="I1761" s="43">
        <f>SUM(AA1752:AA1760)</f>
        <v>7345.41</v>
      </c>
      <c r="J1761" s="44"/>
      <c r="K1761" s="47"/>
      <c r="L1761" s="38">
        <f>I1761</f>
        <v>7345.41</v>
      </c>
      <c r="M1761" s="2">
        <f>ROUND(I1761*$I$4874,2)</f>
        <v>5304.91</v>
      </c>
      <c r="N1761" s="2">
        <f>ROUND(M1761*1.2/105*100,2)</f>
        <v>6062.75</v>
      </c>
      <c r="O1761" s="2">
        <f>ROUND(N1761*0.05,2)</f>
        <v>303.14</v>
      </c>
      <c r="P1761" s="2">
        <f>N1761+O1761</f>
        <v>6365.89</v>
      </c>
      <c r="Q1761" s="3">
        <v>52</v>
      </c>
      <c r="R1761">
        <v>2</v>
      </c>
      <c r="S1761" s="2">
        <v>1060.99</v>
      </c>
    </row>
    <row r="1762" spans="1:33" x14ac:dyDescent="0.2">
      <c r="M1762"/>
      <c r="N1762"/>
      <c r="O1762"/>
      <c r="P1762"/>
      <c r="Q1762"/>
    </row>
    <row r="1763" spans="1:33" x14ac:dyDescent="0.2">
      <c r="M1763"/>
      <c r="N1763"/>
      <c r="O1763"/>
      <c r="P1763"/>
      <c r="Q1763"/>
    </row>
    <row r="1764" spans="1:33" ht="16.5" x14ac:dyDescent="0.25">
      <c r="A1764" s="29" t="str">
        <f>CONCATENATE("Раздел: ",IF([1]Source!G1530&lt;&gt;"Новый раздел", [1]Source!G1530, ""))</f>
        <v>Раздел: Зенитные фонари. ( 381,32м2 ).</v>
      </c>
      <c r="B1764" s="29"/>
      <c r="C1764" s="29"/>
      <c r="D1764" s="29"/>
      <c r="E1764" s="29"/>
      <c r="F1764" s="29"/>
      <c r="G1764" s="29"/>
      <c r="H1764" s="29"/>
      <c r="I1764" s="29"/>
      <c r="J1764" s="29"/>
      <c r="K1764" s="29"/>
      <c r="M1764"/>
      <c r="N1764"/>
      <c r="O1764"/>
      <c r="P1764"/>
      <c r="Q1764"/>
    </row>
    <row r="1765" spans="1:33" ht="57" x14ac:dyDescent="0.2">
      <c r="A1765" s="31">
        <v>249</v>
      </c>
      <c r="B1765" s="31" t="str">
        <f>[1]Source!F1534</f>
        <v>5.3-1102-31-1/1</v>
      </c>
      <c r="C1765" s="31" t="str">
        <f>[1]Source!G1534</f>
        <v>Удаление снега и наледи ручным способом со световых зенитных фонарей, расположенных в зеленой зоне</v>
      </c>
      <c r="D1765" s="32" t="str">
        <f>[1]Source!H1534</f>
        <v>10 м2</v>
      </c>
      <c r="E1765" s="4">
        <f>[1]Source!I1534</f>
        <v>38.131999999999998</v>
      </c>
      <c r="F1765" s="33"/>
      <c r="G1765" s="34"/>
      <c r="H1765" s="4"/>
      <c r="I1765" s="4"/>
      <c r="J1765" s="33"/>
      <c r="K1765" s="33"/>
      <c r="M1765"/>
      <c r="N1765"/>
      <c r="O1765"/>
      <c r="P1765"/>
      <c r="Q1765"/>
      <c r="AB1765">
        <f>ROUND(([1]Source!BZ1534/100)*ROUND(([1]Source!AF1534*[1]Source!AV1534)*[1]Source!I1534, 2), 2)</f>
        <v>28584.36</v>
      </c>
      <c r="AC1765">
        <f>[1]Source!X1534</f>
        <v>28584.36</v>
      </c>
      <c r="AD1765">
        <f>ROUND(([1]Source!CA1534/100)*ROUND(([1]Source!AF1534*[1]Source!AV1534)*[1]Source!I1534, 2), 2)</f>
        <v>4083.48</v>
      </c>
      <c r="AE1765">
        <f>[1]Source!Y1534</f>
        <v>4083.48</v>
      </c>
      <c r="AF1765">
        <f>ROUND((175/100)*ROUND(([1]Source!AE1534*[1]Source!AV1534)*[1]Source!I1534, 2), 2)</f>
        <v>0</v>
      </c>
      <c r="AG1765">
        <f>ROUND((108/100)*ROUND([1]Source!CS1534*[1]Source!I1534, 2), 2)</f>
        <v>0</v>
      </c>
    </row>
    <row r="1766" spans="1:33" x14ac:dyDescent="0.2">
      <c r="C1766" s="40" t="str">
        <f>"Объем: "&amp;[1]Source!I1534&amp;"=381,32/"&amp;"10"</f>
        <v>Объем: 38,132=381,32/10</v>
      </c>
      <c r="M1766"/>
      <c r="N1766"/>
      <c r="O1766"/>
      <c r="P1766"/>
      <c r="Q1766"/>
    </row>
    <row r="1767" spans="1:33" ht="14.25" x14ac:dyDescent="0.2">
      <c r="A1767" s="31"/>
      <c r="B1767" s="31"/>
      <c r="C1767" s="31" t="s">
        <v>34</v>
      </c>
      <c r="D1767" s="32"/>
      <c r="E1767" s="4"/>
      <c r="F1767" s="33">
        <f>[1]Source!AO1534</f>
        <v>22.31</v>
      </c>
      <c r="G1767" s="34" t="str">
        <f>[1]Source!DG1534</f>
        <v>)*1*48</v>
      </c>
      <c r="H1767" s="4">
        <f>[1]Source!AV1534</f>
        <v>1</v>
      </c>
      <c r="I1767" s="4">
        <f>IF([1]Source!BA1534&lt;&gt; 0, [1]Source!BA1534, 1)</f>
        <v>1</v>
      </c>
      <c r="J1767" s="33">
        <f>[1]Source!S1534</f>
        <v>40834.800000000003</v>
      </c>
      <c r="K1767" s="33"/>
      <c r="M1767"/>
      <c r="N1767"/>
      <c r="O1767"/>
      <c r="P1767"/>
      <c r="Q1767"/>
    </row>
    <row r="1768" spans="1:33" ht="14.25" x14ac:dyDescent="0.2">
      <c r="A1768" s="31"/>
      <c r="B1768" s="31"/>
      <c r="C1768" s="31" t="s">
        <v>40</v>
      </c>
      <c r="D1768" s="32" t="s">
        <v>39</v>
      </c>
      <c r="E1768" s="4">
        <f>[1]Source!AT1534</f>
        <v>70</v>
      </c>
      <c r="F1768" s="33"/>
      <c r="G1768" s="34"/>
      <c r="H1768" s="4"/>
      <c r="I1768" s="4"/>
      <c r="J1768" s="33">
        <f>SUM(AC1765:AC1767)</f>
        <v>28584.36</v>
      </c>
      <c r="K1768" s="33"/>
      <c r="M1768"/>
      <c r="N1768"/>
      <c r="O1768"/>
      <c r="P1768"/>
      <c r="Q1768"/>
    </row>
    <row r="1769" spans="1:33" ht="14.25" x14ac:dyDescent="0.2">
      <c r="A1769" s="31"/>
      <c r="B1769" s="31"/>
      <c r="C1769" s="31" t="s">
        <v>41</v>
      </c>
      <c r="D1769" s="32" t="s">
        <v>39</v>
      </c>
      <c r="E1769" s="4">
        <f>[1]Source!AU1534</f>
        <v>10</v>
      </c>
      <c r="F1769" s="33"/>
      <c r="G1769" s="34"/>
      <c r="H1769" s="4"/>
      <c r="I1769" s="4"/>
      <c r="J1769" s="33">
        <f>SUM(AE1765:AE1768)</f>
        <v>4083.48</v>
      </c>
      <c r="K1769" s="33"/>
      <c r="M1769"/>
      <c r="N1769"/>
      <c r="O1769"/>
      <c r="P1769"/>
      <c r="Q1769"/>
    </row>
    <row r="1770" spans="1:33" ht="14.25" x14ac:dyDescent="0.2">
      <c r="A1770" s="31"/>
      <c r="B1770" s="31"/>
      <c r="C1770" s="31" t="s">
        <v>42</v>
      </c>
      <c r="D1770" s="32" t="s">
        <v>43</v>
      </c>
      <c r="E1770" s="4">
        <f>[1]Source!AQ1534</f>
        <v>0.09</v>
      </c>
      <c r="F1770" s="33"/>
      <c r="G1770" s="34" t="str">
        <f>[1]Source!DI1534</f>
        <v>)*1*48</v>
      </c>
      <c r="H1770" s="4">
        <f>[1]Source!AV1534</f>
        <v>1</v>
      </c>
      <c r="I1770" s="4"/>
      <c r="J1770" s="33"/>
      <c r="K1770" s="33">
        <f>[1]Source!U1534</f>
        <v>164.73024000000001</v>
      </c>
      <c r="M1770"/>
      <c r="N1770"/>
      <c r="O1770"/>
      <c r="P1770"/>
      <c r="Q1770"/>
    </row>
    <row r="1771" spans="1:33" ht="15" x14ac:dyDescent="0.25">
      <c r="A1771" s="35"/>
      <c r="B1771" s="35"/>
      <c r="C1771" s="35"/>
      <c r="D1771" s="35"/>
      <c r="E1771" s="35"/>
      <c r="F1771" s="35"/>
      <c r="G1771" s="35"/>
      <c r="H1771" s="35"/>
      <c r="I1771" s="36">
        <f>J1767+J1768+J1769</f>
        <v>73502.64</v>
      </c>
      <c r="J1771" s="36"/>
      <c r="K1771" s="37">
        <f>IF([1]Source!I1534&lt;&gt;0, ROUND(I1771/[1]Source!I1534, 2), 0)</f>
        <v>1927.58</v>
      </c>
      <c r="M1771"/>
      <c r="N1771"/>
      <c r="O1771"/>
      <c r="P1771"/>
      <c r="Q1771"/>
      <c r="AA1771" s="38">
        <f>I1771</f>
        <v>73502.64</v>
      </c>
    </row>
    <row r="1772" spans="1:33" x14ac:dyDescent="0.2">
      <c r="M1772"/>
      <c r="N1772"/>
      <c r="O1772"/>
      <c r="P1772"/>
      <c r="Q1772"/>
    </row>
    <row r="1773" spans="1:33" ht="15" x14ac:dyDescent="0.25">
      <c r="A1773" s="42" t="str">
        <f>CONCATENATE("Итого по разделу: ",IF([1]Source!G1536&lt;&gt;"Новый раздел", [1]Source!G1536, ""))</f>
        <v>Итого по разделу: Зенитные фонари. ( 381,32м2 ).</v>
      </c>
      <c r="B1773" s="42"/>
      <c r="C1773" s="42"/>
      <c r="D1773" s="42"/>
      <c r="E1773" s="42"/>
      <c r="F1773" s="42"/>
      <c r="G1773" s="42"/>
      <c r="H1773" s="42"/>
      <c r="I1773" s="43">
        <f>SUM(AA1764:AA1772)</f>
        <v>73502.64</v>
      </c>
      <c r="J1773" s="44"/>
      <c r="K1773" s="47"/>
      <c r="L1773" s="38">
        <f>I1773</f>
        <v>73502.64</v>
      </c>
      <c r="M1773" s="2">
        <f>ROUND(I1773*$I$4874,2)</f>
        <v>53084.11</v>
      </c>
      <c r="N1773" s="2">
        <f>ROUND(M1773*1.2/105*100,2)</f>
        <v>60667.55</v>
      </c>
      <c r="O1773" s="2">
        <f>ROUND(N1773*0.05,2)</f>
        <v>3033.38</v>
      </c>
      <c r="P1773" s="2">
        <f>N1773+O1773</f>
        <v>63700.93</v>
      </c>
      <c r="Q1773" s="3">
        <v>53</v>
      </c>
      <c r="R1773">
        <v>2</v>
      </c>
      <c r="S1773" s="2">
        <v>10616.8</v>
      </c>
    </row>
    <row r="1774" spans="1:33" x14ac:dyDescent="0.2">
      <c r="M1774"/>
      <c r="N1774"/>
      <c r="O1774"/>
      <c r="P1774"/>
      <c r="Q1774"/>
    </row>
    <row r="1775" spans="1:33" x14ac:dyDescent="0.2">
      <c r="M1775"/>
      <c r="N1775"/>
      <c r="O1775"/>
      <c r="P1775"/>
      <c r="Q1775"/>
    </row>
    <row r="1776" spans="1:33" ht="16.5" x14ac:dyDescent="0.25">
      <c r="A1776" s="29" t="str">
        <f>CONCATENATE("Раздел: ",IF([1]Source!G1566&lt;&gt;"Новый раздел", [1]Source!G1566, ""))</f>
        <v>Раздел: Велосипедные парковки ( 2 шт.)</v>
      </c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M1776"/>
      <c r="N1776"/>
      <c r="O1776"/>
      <c r="P1776"/>
      <c r="Q1776"/>
    </row>
    <row r="1777" spans="1:33" ht="28.5" x14ac:dyDescent="0.2">
      <c r="A1777" s="31">
        <v>250</v>
      </c>
      <c r="B1777" s="31" t="str">
        <f>[1]Source!F1570</f>
        <v>5.3-1102-30-1/1</v>
      </c>
      <c r="C1777" s="31" t="str">
        <f>[1]Source!G1570</f>
        <v>Удаление снега и наледи ручным способом - велопарковки</v>
      </c>
      <c r="D1777" s="32" t="str">
        <f>[1]Source!H1570</f>
        <v>10 м2</v>
      </c>
      <c r="E1777" s="4">
        <f>[1]Source!I1570</f>
        <v>0.56000000000000005</v>
      </c>
      <c r="F1777" s="33"/>
      <c r="G1777" s="34"/>
      <c r="H1777" s="4"/>
      <c r="I1777" s="4"/>
      <c r="J1777" s="33"/>
      <c r="K1777" s="33"/>
      <c r="M1777"/>
      <c r="N1777"/>
      <c r="O1777"/>
      <c r="P1777"/>
      <c r="Q1777"/>
      <c r="AB1777">
        <f>ROUND(([1]Source!BZ1570/100)*ROUND(([1]Source!AF1570*[1]Source!AV1570)*[1]Source!I1570, 2), 2)</f>
        <v>606.44000000000005</v>
      </c>
      <c r="AC1777">
        <f>[1]Source!X1570</f>
        <v>606.44000000000005</v>
      </c>
      <c r="AD1777">
        <f>ROUND(([1]Source!CA1570/100)*ROUND(([1]Source!AF1570*[1]Source!AV1570)*[1]Source!I1570, 2), 2)</f>
        <v>86.63</v>
      </c>
      <c r="AE1777">
        <f>[1]Source!Y1570</f>
        <v>86.63</v>
      </c>
      <c r="AF1777">
        <f>ROUND((175/100)*ROUND(([1]Source!AE1570*[1]Source!AV1570)*[1]Source!I1570, 2), 2)</f>
        <v>0</v>
      </c>
      <c r="AG1777">
        <f>ROUND((108/100)*ROUND([1]Source!CS1570*[1]Source!I1570, 2), 2)</f>
        <v>0</v>
      </c>
    </row>
    <row r="1778" spans="1:33" x14ac:dyDescent="0.2">
      <c r="C1778" s="40" t="str">
        <f>"Объем: "&amp;[1]Source!I1570&amp;"=5,6/"&amp;"10"</f>
        <v>Объем: 0,56=5,6/10</v>
      </c>
      <c r="M1778"/>
      <c r="N1778"/>
      <c r="O1778"/>
      <c r="P1778"/>
      <c r="Q1778"/>
    </row>
    <row r="1779" spans="1:33" ht="14.25" x14ac:dyDescent="0.2">
      <c r="A1779" s="31"/>
      <c r="B1779" s="31"/>
      <c r="C1779" s="31" t="s">
        <v>34</v>
      </c>
      <c r="D1779" s="32"/>
      <c r="E1779" s="4"/>
      <c r="F1779" s="33">
        <f>[1]Source!AO1570</f>
        <v>32.229999999999997</v>
      </c>
      <c r="G1779" s="34" t="str">
        <f>[1]Source!DG1570</f>
        <v>)*1*48</v>
      </c>
      <c r="H1779" s="4">
        <f>[1]Source!AV1570</f>
        <v>1</v>
      </c>
      <c r="I1779" s="4">
        <f>IF([1]Source!BA1570&lt;&gt; 0, [1]Source!BA1570, 1)</f>
        <v>1</v>
      </c>
      <c r="J1779" s="33">
        <f>[1]Source!S1570</f>
        <v>866.34</v>
      </c>
      <c r="K1779" s="33"/>
      <c r="M1779"/>
      <c r="N1779"/>
      <c r="O1779"/>
      <c r="P1779"/>
      <c r="Q1779"/>
    </row>
    <row r="1780" spans="1:33" ht="14.25" x14ac:dyDescent="0.2">
      <c r="A1780" s="31"/>
      <c r="B1780" s="31"/>
      <c r="C1780" s="31" t="s">
        <v>40</v>
      </c>
      <c r="D1780" s="32" t="s">
        <v>39</v>
      </c>
      <c r="E1780" s="4">
        <f>[1]Source!AT1570</f>
        <v>70</v>
      </c>
      <c r="F1780" s="33"/>
      <c r="G1780" s="34"/>
      <c r="H1780" s="4"/>
      <c r="I1780" s="4"/>
      <c r="J1780" s="33">
        <f>SUM(AC1777:AC1779)</f>
        <v>606.44000000000005</v>
      </c>
      <c r="K1780" s="33"/>
      <c r="M1780"/>
      <c r="N1780"/>
      <c r="O1780"/>
      <c r="P1780"/>
      <c r="Q1780"/>
    </row>
    <row r="1781" spans="1:33" ht="14.25" x14ac:dyDescent="0.2">
      <c r="A1781" s="31"/>
      <c r="B1781" s="31"/>
      <c r="C1781" s="31" t="s">
        <v>41</v>
      </c>
      <c r="D1781" s="32" t="s">
        <v>39</v>
      </c>
      <c r="E1781" s="4">
        <f>[1]Source!AU1570</f>
        <v>10</v>
      </c>
      <c r="F1781" s="33"/>
      <c r="G1781" s="34"/>
      <c r="H1781" s="4"/>
      <c r="I1781" s="4"/>
      <c r="J1781" s="33">
        <f>SUM(AE1777:AE1780)</f>
        <v>86.63</v>
      </c>
      <c r="K1781" s="33"/>
      <c r="M1781"/>
      <c r="N1781"/>
      <c r="O1781"/>
      <c r="P1781"/>
      <c r="Q1781"/>
    </row>
    <row r="1782" spans="1:33" ht="14.25" x14ac:dyDescent="0.2">
      <c r="A1782" s="31"/>
      <c r="B1782" s="31"/>
      <c r="C1782" s="31" t="s">
        <v>42</v>
      </c>
      <c r="D1782" s="32" t="s">
        <v>43</v>
      </c>
      <c r="E1782" s="4">
        <f>[1]Source!AQ1570</f>
        <v>0.13</v>
      </c>
      <c r="F1782" s="33"/>
      <c r="G1782" s="34" t="str">
        <f>[1]Source!DI1570</f>
        <v>)*1*48</v>
      </c>
      <c r="H1782" s="4">
        <f>[1]Source!AV1570</f>
        <v>1</v>
      </c>
      <c r="I1782" s="4"/>
      <c r="J1782" s="33"/>
      <c r="K1782" s="33">
        <f>[1]Source!U1570</f>
        <v>3.4944000000000006</v>
      </c>
      <c r="M1782"/>
      <c r="N1782"/>
      <c r="O1782"/>
      <c r="P1782"/>
      <c r="Q1782"/>
    </row>
    <row r="1783" spans="1:33" ht="15" x14ac:dyDescent="0.25">
      <c r="A1783" s="35"/>
      <c r="B1783" s="35"/>
      <c r="C1783" s="35"/>
      <c r="D1783" s="35"/>
      <c r="E1783" s="35"/>
      <c r="F1783" s="35"/>
      <c r="G1783" s="35"/>
      <c r="H1783" s="35"/>
      <c r="I1783" s="36">
        <f>J1779+J1780+J1781</f>
        <v>1559.4100000000003</v>
      </c>
      <c r="J1783" s="36"/>
      <c r="K1783" s="37">
        <f>IF([1]Source!I1570&lt;&gt;0, ROUND(I1783/[1]Source!I1570, 2), 0)</f>
        <v>2784.66</v>
      </c>
      <c r="M1783"/>
      <c r="N1783"/>
      <c r="O1783"/>
      <c r="P1783"/>
      <c r="Q1783"/>
      <c r="AA1783" s="38">
        <f>I1783</f>
        <v>1559.4100000000003</v>
      </c>
    </row>
    <row r="1784" spans="1:33" x14ac:dyDescent="0.2">
      <c r="M1784"/>
      <c r="N1784"/>
      <c r="O1784"/>
      <c r="P1784"/>
      <c r="Q1784"/>
    </row>
    <row r="1785" spans="1:33" ht="15" x14ac:dyDescent="0.25">
      <c r="A1785" s="42" t="str">
        <f>CONCATENATE("Итого по разделу: ",IF([1]Source!G1572&lt;&gt;"Новый раздел", [1]Source!G1572, ""))</f>
        <v>Итого по разделу: Велосипедные парковки ( 2 шт.)</v>
      </c>
      <c r="B1785" s="42"/>
      <c r="C1785" s="42"/>
      <c r="D1785" s="42"/>
      <c r="E1785" s="42"/>
      <c r="F1785" s="42"/>
      <c r="G1785" s="42"/>
      <c r="H1785" s="42"/>
      <c r="I1785" s="43">
        <f>SUM(AA1776:AA1784)</f>
        <v>1559.4100000000003</v>
      </c>
      <c r="J1785" s="44"/>
      <c r="K1785" s="47"/>
      <c r="L1785" s="38">
        <f>I1785</f>
        <v>1559.4100000000003</v>
      </c>
      <c r="M1785" s="2">
        <f>ROUND(I1785*$I$4874,2)</f>
        <v>1126.22</v>
      </c>
      <c r="N1785" s="2">
        <f>ROUND(M1785*1.2/105*100,2)</f>
        <v>1287.1099999999999</v>
      </c>
      <c r="O1785" s="2">
        <f>ROUND(N1785*0.05,2)</f>
        <v>64.36</v>
      </c>
      <c r="P1785" s="2">
        <f>N1785+O1785</f>
        <v>1351.4699999999998</v>
      </c>
      <c r="Q1785" s="3">
        <v>54</v>
      </c>
      <c r="R1785">
        <v>2</v>
      </c>
      <c r="S1785" s="2">
        <v>197.08</v>
      </c>
    </row>
    <row r="1786" spans="1:33" x14ac:dyDescent="0.2">
      <c r="M1786"/>
      <c r="N1786"/>
      <c r="O1786"/>
      <c r="P1786"/>
      <c r="Q1786"/>
    </row>
    <row r="1787" spans="1:33" x14ac:dyDescent="0.2">
      <c r="M1787"/>
      <c r="N1787"/>
      <c r="O1787"/>
      <c r="P1787"/>
      <c r="Q1787"/>
    </row>
    <row r="1788" spans="1:33" ht="16.5" x14ac:dyDescent="0.25">
      <c r="A1788" s="29" t="str">
        <f>CONCATENATE("Раздел: ",IF([1]Source!G1602&lt;&gt;"Новый раздел", [1]Source!G1602, ""))</f>
        <v>Раздел: Гранитные урны ( 5 шт.)</v>
      </c>
      <c r="B1788" s="29"/>
      <c r="C1788" s="29"/>
      <c r="D1788" s="29"/>
      <c r="E1788" s="29"/>
      <c r="F1788" s="29"/>
      <c r="G1788" s="29"/>
      <c r="H1788" s="29"/>
      <c r="I1788" s="29"/>
      <c r="J1788" s="29"/>
      <c r="K1788" s="29"/>
      <c r="M1788"/>
      <c r="N1788"/>
      <c r="O1788"/>
      <c r="P1788"/>
      <c r="Q1788"/>
    </row>
    <row r="1789" spans="1:33" ht="42.75" x14ac:dyDescent="0.2">
      <c r="A1789" s="31">
        <v>251</v>
      </c>
      <c r="B1789" s="31" t="str">
        <f>[1]Source!F1606</f>
        <v>5.3-1102-4-1/1</v>
      </c>
      <c r="C1789" s="31" t="str">
        <f>[1]Source!G1606</f>
        <v>Очистка скамеек, садовых диванов, урн от снега вручную ( гранитные урны )</v>
      </c>
      <c r="D1789" s="32" t="str">
        <f>[1]Source!H1606</f>
        <v>100 м2</v>
      </c>
      <c r="E1789" s="4">
        <f>[1]Source!I1606</f>
        <v>0.05</v>
      </c>
      <c r="F1789" s="33"/>
      <c r="G1789" s="34"/>
      <c r="H1789" s="4"/>
      <c r="I1789" s="4"/>
      <c r="J1789" s="33"/>
      <c r="K1789" s="33"/>
      <c r="M1789"/>
      <c r="N1789"/>
      <c r="O1789"/>
      <c r="P1789"/>
      <c r="Q1789"/>
      <c r="AB1789">
        <f>ROUND(([1]Source!BZ1606/100)*ROUND(([1]Source!AF1606*[1]Source!AV1606)*[1]Source!I1606, 2), 2)</f>
        <v>1170.42</v>
      </c>
      <c r="AC1789">
        <f>[1]Source!X1606</f>
        <v>1170.42</v>
      </c>
      <c r="AD1789">
        <f>ROUND(([1]Source!CA1606/100)*ROUND(([1]Source!AF1606*[1]Source!AV1606)*[1]Source!I1606, 2), 2)</f>
        <v>167.2</v>
      </c>
      <c r="AE1789">
        <f>[1]Source!Y1606</f>
        <v>167.2</v>
      </c>
      <c r="AF1789">
        <f>ROUND((175/100)*ROUND(([1]Source!AE1606*[1]Source!AV1606)*[1]Source!I1606, 2), 2)</f>
        <v>0</v>
      </c>
      <c r="AG1789">
        <f>ROUND((108/100)*ROUND([1]Source!CS1606*[1]Source!I1606, 2), 2)</f>
        <v>0</v>
      </c>
    </row>
    <row r="1790" spans="1:33" x14ac:dyDescent="0.2">
      <c r="C1790" s="40" t="str">
        <f>"Объем: "&amp;[1]Source!I1606&amp;"=5/"&amp;"100"</f>
        <v>Объем: 0,05=5/100</v>
      </c>
      <c r="M1790"/>
      <c r="N1790"/>
      <c r="O1790"/>
      <c r="P1790"/>
      <c r="Q1790"/>
    </row>
    <row r="1791" spans="1:33" ht="14.25" x14ac:dyDescent="0.2">
      <c r="A1791" s="31"/>
      <c r="B1791" s="31"/>
      <c r="C1791" s="31" t="s">
        <v>34</v>
      </c>
      <c r="D1791" s="32"/>
      <c r="E1791" s="4"/>
      <c r="F1791" s="33">
        <f>[1]Source!AO1606</f>
        <v>696.68</v>
      </c>
      <c r="G1791" s="34" t="str">
        <f>[1]Source!DG1606</f>
        <v>)*1*48</v>
      </c>
      <c r="H1791" s="4">
        <f>[1]Source!AV1606</f>
        <v>1</v>
      </c>
      <c r="I1791" s="4">
        <f>IF([1]Source!BA1606&lt;&gt; 0, [1]Source!BA1606, 1)</f>
        <v>1</v>
      </c>
      <c r="J1791" s="33">
        <f>[1]Source!S1606</f>
        <v>1672.03</v>
      </c>
      <c r="K1791" s="33"/>
      <c r="M1791"/>
      <c r="N1791"/>
      <c r="O1791"/>
      <c r="P1791"/>
      <c r="Q1791"/>
    </row>
    <row r="1792" spans="1:33" ht="14.25" x14ac:dyDescent="0.2">
      <c r="A1792" s="31"/>
      <c r="B1792" s="31"/>
      <c r="C1792" s="31" t="s">
        <v>40</v>
      </c>
      <c r="D1792" s="32" t="s">
        <v>39</v>
      </c>
      <c r="E1792" s="4">
        <f>[1]Source!AT1606</f>
        <v>70</v>
      </c>
      <c r="F1792" s="33"/>
      <c r="G1792" s="34"/>
      <c r="H1792" s="4"/>
      <c r="I1792" s="4"/>
      <c r="J1792" s="33">
        <f>SUM(AC1789:AC1791)</f>
        <v>1170.42</v>
      </c>
      <c r="K1792" s="33"/>
      <c r="M1792"/>
      <c r="N1792"/>
      <c r="O1792"/>
      <c r="P1792"/>
      <c r="Q1792"/>
    </row>
    <row r="1793" spans="1:33" ht="14.25" x14ac:dyDescent="0.2">
      <c r="A1793" s="31"/>
      <c r="B1793" s="31"/>
      <c r="C1793" s="31" t="s">
        <v>41</v>
      </c>
      <c r="D1793" s="32" t="s">
        <v>39</v>
      </c>
      <c r="E1793" s="4">
        <f>[1]Source!AU1606</f>
        <v>10</v>
      </c>
      <c r="F1793" s="33"/>
      <c r="G1793" s="34"/>
      <c r="H1793" s="4"/>
      <c r="I1793" s="4"/>
      <c r="J1793" s="33">
        <f>SUM(AE1789:AE1792)</f>
        <v>167.2</v>
      </c>
      <c r="K1793" s="33"/>
      <c r="M1793"/>
      <c r="N1793"/>
      <c r="O1793"/>
      <c r="P1793"/>
      <c r="Q1793"/>
    </row>
    <row r="1794" spans="1:33" ht="14.25" x14ac:dyDescent="0.2">
      <c r="A1794" s="31"/>
      <c r="B1794" s="31"/>
      <c r="C1794" s="31" t="s">
        <v>42</v>
      </c>
      <c r="D1794" s="32" t="s">
        <v>43</v>
      </c>
      <c r="E1794" s="4">
        <f>[1]Source!AQ1606</f>
        <v>2.81</v>
      </c>
      <c r="F1794" s="33"/>
      <c r="G1794" s="34" t="str">
        <f>[1]Source!DI1606</f>
        <v>)*1*48</v>
      </c>
      <c r="H1794" s="4">
        <f>[1]Source!AV1606</f>
        <v>1</v>
      </c>
      <c r="I1794" s="4"/>
      <c r="J1794" s="33"/>
      <c r="K1794" s="33">
        <f>[1]Source!U1606</f>
        <v>6.7439999999999998</v>
      </c>
      <c r="M1794"/>
      <c r="N1794"/>
      <c r="O1794"/>
      <c r="P1794"/>
      <c r="Q1794"/>
    </row>
    <row r="1795" spans="1:33" ht="15" x14ac:dyDescent="0.25">
      <c r="A1795" s="35"/>
      <c r="B1795" s="35"/>
      <c r="C1795" s="35"/>
      <c r="D1795" s="35"/>
      <c r="E1795" s="35"/>
      <c r="F1795" s="35"/>
      <c r="G1795" s="35"/>
      <c r="H1795" s="35"/>
      <c r="I1795" s="36">
        <f>J1791+J1792+J1793</f>
        <v>3009.6499999999996</v>
      </c>
      <c r="J1795" s="36"/>
      <c r="K1795" s="37">
        <f>IF([1]Source!I1606&lt;&gt;0, ROUND(I1795/[1]Source!I1606, 2), 0)</f>
        <v>60193</v>
      </c>
      <c r="M1795"/>
      <c r="N1795"/>
      <c r="O1795"/>
      <c r="P1795"/>
      <c r="Q1795"/>
      <c r="AA1795" s="38">
        <f>I1795</f>
        <v>3009.6499999999996</v>
      </c>
    </row>
    <row r="1796" spans="1:33" x14ac:dyDescent="0.2">
      <c r="M1796"/>
      <c r="N1796"/>
      <c r="O1796"/>
      <c r="P1796"/>
      <c r="Q1796"/>
    </row>
    <row r="1797" spans="1:33" ht="15" x14ac:dyDescent="0.25">
      <c r="A1797" s="42" t="str">
        <f>CONCATENATE("Итого по разделу: ",IF([1]Source!G1608&lt;&gt;"Новый раздел", [1]Source!G1608, ""))</f>
        <v>Итого по разделу: Гранитные урны ( 5 шт.)</v>
      </c>
      <c r="B1797" s="42"/>
      <c r="C1797" s="42"/>
      <c r="D1797" s="42"/>
      <c r="E1797" s="42"/>
      <c r="F1797" s="42"/>
      <c r="G1797" s="42"/>
      <c r="H1797" s="42"/>
      <c r="I1797" s="43">
        <f>SUM(AA1788:AA1796)</f>
        <v>3009.6499999999996</v>
      </c>
      <c r="J1797" s="44"/>
      <c r="K1797" s="47"/>
      <c r="L1797" s="38">
        <f>I1797</f>
        <v>3009.6499999999996</v>
      </c>
      <c r="M1797" s="2">
        <f>ROUND(I1797*$I$4874,2)</f>
        <v>2173.59</v>
      </c>
      <c r="N1797" s="2">
        <f>ROUND(M1797*1.2/105*100,2)</f>
        <v>2484.1</v>
      </c>
      <c r="O1797" s="2">
        <f>ROUND(N1797*0.05,2)</f>
        <v>124.21</v>
      </c>
      <c r="P1797" s="2">
        <f>N1797+O1797</f>
        <v>2608.31</v>
      </c>
      <c r="Q1797" s="3">
        <v>55</v>
      </c>
      <c r="R1797">
        <v>2</v>
      </c>
      <c r="S1797" s="2">
        <v>434.72</v>
      </c>
    </row>
    <row r="1798" spans="1:33" x14ac:dyDescent="0.2">
      <c r="M1798"/>
      <c r="N1798"/>
      <c r="O1798"/>
      <c r="P1798"/>
      <c r="Q1798"/>
    </row>
    <row r="1799" spans="1:33" x14ac:dyDescent="0.2">
      <c r="M1799"/>
      <c r="N1799"/>
      <c r="O1799"/>
      <c r="P1799"/>
      <c r="Q1799"/>
    </row>
    <row r="1800" spans="1:33" ht="16.5" x14ac:dyDescent="0.25">
      <c r="A1800" s="29" t="str">
        <f>CONCATENATE("Раздел: ",IF([1]Source!G1638&lt;&gt;"Новый раздел", [1]Source!G1638, ""))</f>
        <v>Раздел: Нестационарные торговые объекты</v>
      </c>
      <c r="B1800" s="29"/>
      <c r="C1800" s="29"/>
      <c r="D1800" s="29"/>
      <c r="E1800" s="29"/>
      <c r="F1800" s="29"/>
      <c r="G1800" s="29"/>
      <c r="H1800" s="29"/>
      <c r="I1800" s="29"/>
      <c r="J1800" s="29"/>
      <c r="K1800" s="29"/>
      <c r="M1800"/>
      <c r="N1800"/>
      <c r="O1800"/>
      <c r="P1800"/>
      <c r="Q1800"/>
    </row>
    <row r="1801" spans="1:33" ht="14.25" x14ac:dyDescent="0.2">
      <c r="A1801" s="31">
        <v>252</v>
      </c>
      <c r="B1801" s="31" t="str">
        <f>[1]Source!F1642</f>
        <v>калькуляция</v>
      </c>
      <c r="C1801" s="31" t="str">
        <f>[1]Source!G1642</f>
        <v>Протирка электронных аппаратов</v>
      </c>
      <c r="D1801" s="32" t="str">
        <f>[1]Source!H1642</f>
        <v>м2</v>
      </c>
      <c r="E1801" s="4">
        <f>[1]Source!I1642</f>
        <v>128.12</v>
      </c>
      <c r="F1801" s="33"/>
      <c r="G1801" s="34"/>
      <c r="H1801" s="4"/>
      <c r="I1801" s="4"/>
      <c r="J1801" s="33"/>
      <c r="K1801" s="33"/>
      <c r="M1801"/>
      <c r="N1801"/>
      <c r="O1801"/>
      <c r="P1801"/>
      <c r="Q1801"/>
      <c r="AB1801">
        <f>ROUND(([1]Source!BZ1642/100)*ROUND(([1]Source!AF1642*[1]Source!AV1642)*[1]Source!I1642, 2), 2)</f>
        <v>0</v>
      </c>
      <c r="AC1801">
        <f>[1]Source!X1642</f>
        <v>0</v>
      </c>
      <c r="AD1801">
        <f>ROUND(([1]Source!CA1642/100)*ROUND(([1]Source!AF1642*[1]Source!AV1642)*[1]Source!I1642, 2), 2)</f>
        <v>0</v>
      </c>
      <c r="AE1801">
        <f>[1]Source!Y1642</f>
        <v>0</v>
      </c>
      <c r="AF1801">
        <f>ROUND((175/100)*ROUND(([1]Source!AE1642*[1]Source!AV1642)*[1]Source!I1642, 2), 2)</f>
        <v>0</v>
      </c>
      <c r="AG1801">
        <f>ROUND((108/100)*ROUND([1]Source!CS1642*[1]Source!I1642, 2), 2)</f>
        <v>0</v>
      </c>
    </row>
    <row r="1802" spans="1:33" ht="14.25" x14ac:dyDescent="0.2">
      <c r="A1802" s="31"/>
      <c r="B1802" s="31"/>
      <c r="C1802" s="31" t="s">
        <v>34</v>
      </c>
      <c r="D1802" s="32"/>
      <c r="E1802" s="4"/>
      <c r="F1802" s="33">
        <f>[1]Source!AO1642</f>
        <v>1.67</v>
      </c>
      <c r="G1802" s="34" t="str">
        <f>[1]Source!DG1642</f>
        <v>)*1*48</v>
      </c>
      <c r="H1802" s="4">
        <f>[1]Source!AV1642</f>
        <v>1</v>
      </c>
      <c r="I1802" s="4">
        <f>IF([1]Source!BA1642&lt;&gt; 0, [1]Source!BA1642, 1)</f>
        <v>1</v>
      </c>
      <c r="J1802" s="33">
        <f>[1]Source!S1642</f>
        <v>10270.1</v>
      </c>
      <c r="K1802" s="33"/>
      <c r="M1802"/>
      <c r="N1802"/>
      <c r="O1802"/>
      <c r="P1802"/>
      <c r="Q1802"/>
    </row>
    <row r="1803" spans="1:33" ht="28.5" x14ac:dyDescent="0.2">
      <c r="A1803" s="31" t="s">
        <v>87</v>
      </c>
      <c r="B1803" s="31" t="str">
        <f>[1]Source!F1643</f>
        <v>цена поставщика</v>
      </c>
      <c r="C1803" s="31" t="str">
        <f>[1]Source!G1643</f>
        <v>Средство моющее незамерзающее для протирки Биомол АД-У</v>
      </c>
      <c r="D1803" s="32" t="str">
        <f>[1]Source!H1643</f>
        <v>л</v>
      </c>
      <c r="E1803" s="4">
        <f>[1]Source!I1643</f>
        <v>1.2299519999999999</v>
      </c>
      <c r="F1803" s="33">
        <f>[1]Source!AK1643</f>
        <v>236.78</v>
      </c>
      <c r="G1803" s="39" t="s">
        <v>88</v>
      </c>
      <c r="H1803" s="4">
        <f>[1]Source!AW1643</f>
        <v>1</v>
      </c>
      <c r="I1803" s="4">
        <f>IF([1]Source!BC1643&lt;&gt; 0, [1]Source!BC1643, 1)</f>
        <v>1</v>
      </c>
      <c r="J1803" s="33">
        <f>[1]Source!O1643</f>
        <v>291.23</v>
      </c>
      <c r="K1803" s="33"/>
      <c r="M1803"/>
      <c r="N1803"/>
      <c r="O1803"/>
      <c r="P1803"/>
      <c r="Q1803"/>
      <c r="AB1803">
        <f>ROUND(([1]Source!BZ1643/100)*ROUND(([1]Source!AF1643*[1]Source!AV1643)*[1]Source!I1643, 2), 2)</f>
        <v>0</v>
      </c>
      <c r="AC1803">
        <f>[1]Source!X1643</f>
        <v>0</v>
      </c>
      <c r="AD1803">
        <f>ROUND(([1]Source!CA1643/100)*ROUND(([1]Source!AF1643*[1]Source!AV1643)*[1]Source!I1643, 2), 2)</f>
        <v>0</v>
      </c>
      <c r="AE1803">
        <f>[1]Source!Y1643</f>
        <v>0</v>
      </c>
      <c r="AF1803">
        <f>ROUND((175/100)*ROUND(([1]Source!AE1643*[1]Source!AV1643)*[1]Source!I1643, 2), 2)</f>
        <v>0</v>
      </c>
      <c r="AG1803">
        <f>ROUND((108/100)*ROUND([1]Source!CS1643*[1]Source!I1643, 2), 2)</f>
        <v>0</v>
      </c>
    </row>
    <row r="1804" spans="1:33" ht="15" x14ac:dyDescent="0.25">
      <c r="A1804" s="35"/>
      <c r="B1804" s="35"/>
      <c r="C1804" s="35"/>
      <c r="D1804" s="35"/>
      <c r="E1804" s="35"/>
      <c r="F1804" s="35"/>
      <c r="G1804" s="35"/>
      <c r="H1804" s="35"/>
      <c r="I1804" s="36">
        <f>J1802+SUM(J1803:J1803)</f>
        <v>10561.33</v>
      </c>
      <c r="J1804" s="36"/>
      <c r="K1804" s="37">
        <f>IF([1]Source!I1642&lt;&gt;0, ROUND(I1804/[1]Source!I1642, 2), 0)</f>
        <v>82.43</v>
      </c>
      <c r="M1804"/>
      <c r="N1804"/>
      <c r="O1804"/>
      <c r="P1804"/>
      <c r="Q1804"/>
      <c r="AA1804" s="38">
        <f>I1804</f>
        <v>10561.33</v>
      </c>
    </row>
    <row r="1805" spans="1:33" x14ac:dyDescent="0.2">
      <c r="M1805"/>
      <c r="N1805"/>
      <c r="O1805"/>
      <c r="P1805"/>
      <c r="Q1805"/>
    </row>
    <row r="1806" spans="1:33" ht="15" x14ac:dyDescent="0.25">
      <c r="A1806" s="42" t="str">
        <f>CONCATENATE("Итого по разделу: ",IF([1]Source!G1645&lt;&gt;"Новый раздел", [1]Source!G1645, ""))</f>
        <v>Итого по разделу: Нестационарные торговые объекты</v>
      </c>
      <c r="B1806" s="42"/>
      <c r="C1806" s="42"/>
      <c r="D1806" s="42"/>
      <c r="E1806" s="42"/>
      <c r="F1806" s="42"/>
      <c r="G1806" s="42"/>
      <c r="H1806" s="42"/>
      <c r="I1806" s="43">
        <f>SUM(AA1800:AA1805)</f>
        <v>10561.33</v>
      </c>
      <c r="J1806" s="44"/>
      <c r="K1806" s="47"/>
      <c r="L1806" s="38">
        <f>I1806</f>
        <v>10561.33</v>
      </c>
      <c r="M1806" s="2">
        <f>ROUND(I1806*$I$4874,2)</f>
        <v>7627.46</v>
      </c>
      <c r="N1806" s="2">
        <f>ROUND(M1806*1.2/105*100,2)</f>
        <v>8717.1</v>
      </c>
      <c r="O1806" s="2">
        <f>ROUND(N1806*0.05,2)</f>
        <v>435.86</v>
      </c>
      <c r="P1806" s="2">
        <f>N1806+O1806</f>
        <v>9152.9600000000009</v>
      </c>
      <c r="Q1806" s="3">
        <v>56</v>
      </c>
      <c r="R1806">
        <v>2</v>
      </c>
      <c r="S1806" s="2">
        <v>1906.87</v>
      </c>
    </row>
    <row r="1807" spans="1:33" x14ac:dyDescent="0.2">
      <c r="M1807"/>
      <c r="N1807"/>
      <c r="O1807"/>
      <c r="P1807"/>
      <c r="Q1807"/>
    </row>
    <row r="1808" spans="1:33" x14ac:dyDescent="0.2">
      <c r="M1808"/>
      <c r="N1808"/>
      <c r="O1808"/>
      <c r="P1808"/>
      <c r="Q1808"/>
    </row>
    <row r="1809" spans="1:42" ht="33" x14ac:dyDescent="0.25">
      <c r="A1809" s="29" t="str">
        <f>CONCATENATE("Раздел: ",IF([1]Source!G1675&lt;&gt;"Новый раздел", [1]Source!G1675, ""))</f>
        <v>Раздел: Снежный борт на границе между покрытием парковым со вставками участков зеленых насаждений и другими садово-парковым покрытиями.Установка вешек сигнальных дорожных.</v>
      </c>
      <c r="B1809" s="29"/>
      <c r="C1809" s="29"/>
      <c r="D1809" s="29"/>
      <c r="E1809" s="29"/>
      <c r="F1809" s="29"/>
      <c r="G1809" s="29"/>
      <c r="H1809" s="29"/>
      <c r="I1809" s="29"/>
      <c r="J1809" s="29"/>
      <c r="K1809" s="29"/>
      <c r="M1809"/>
      <c r="N1809"/>
      <c r="O1809"/>
      <c r="P1809"/>
      <c r="Q1809"/>
      <c r="AP1809" s="30" t="str">
        <f>CONCATENATE("Раздел: ",IF([1]Source!G1675&lt;&gt;"Новый раздел", [1]Source!G1675, ""))</f>
        <v>Раздел: Снежный борт на границе между покрытием парковым со вставками участков зеленых насаждений и другими садово-парковым покрытиями.Установка вешек сигнальных дорожных.</v>
      </c>
    </row>
    <row r="1810" spans="1:42" ht="57" x14ac:dyDescent="0.2">
      <c r="A1810" s="31">
        <v>253</v>
      </c>
      <c r="B1810" s="31" t="str">
        <f>[1]Source!F1679</f>
        <v>5.3-1102-29-1/1</v>
      </c>
      <c r="C1810" s="31" t="str">
        <f>[1]Source!G1679</f>
        <v>Сооружение борта из снега по границе паркового покрытия и зеленых насаждений при отсутствии бортового камня</v>
      </c>
      <c r="D1810" s="32" t="str">
        <f>[1]Source!H1679</f>
        <v>10 м</v>
      </c>
      <c r="E1810" s="4">
        <f>[1]Source!I1679</f>
        <v>401</v>
      </c>
      <c r="F1810" s="33"/>
      <c r="G1810" s="34"/>
      <c r="H1810" s="4"/>
      <c r="I1810" s="4"/>
      <c r="J1810" s="33"/>
      <c r="K1810" s="33"/>
      <c r="M1810"/>
      <c r="N1810"/>
      <c r="O1810"/>
      <c r="P1810"/>
      <c r="Q1810"/>
      <c r="AB1810">
        <f>ROUND(([1]Source!BZ1679/100)*ROUND(([1]Source!AF1679*[1]Source!AV1679)*[1]Source!I1679, 2), 2)</f>
        <v>709834.16</v>
      </c>
      <c r="AC1810">
        <f>[1]Source!X1679</f>
        <v>709834.16</v>
      </c>
      <c r="AD1810">
        <f>ROUND(([1]Source!CA1679/100)*ROUND(([1]Source!AF1679*[1]Source!AV1679)*[1]Source!I1679, 2), 2)</f>
        <v>101404.88</v>
      </c>
      <c r="AE1810">
        <f>[1]Source!Y1679</f>
        <v>101404.88</v>
      </c>
      <c r="AF1810">
        <f>ROUND((175/100)*ROUND(([1]Source!AE1679*[1]Source!AV1679)*[1]Source!I1679, 2), 2)</f>
        <v>76210.05</v>
      </c>
      <c r="AG1810">
        <f>ROUND((108/100)*ROUND([1]Source!CS1679*[1]Source!I1679, 2), 2)</f>
        <v>47032.49</v>
      </c>
    </row>
    <row r="1811" spans="1:42" x14ac:dyDescent="0.2">
      <c r="C1811" s="40" t="str">
        <f>"Объем: "&amp;[1]Source!I1679&amp;"=4010/"&amp;"10"</f>
        <v>Объем: 401=4010/10</v>
      </c>
      <c r="M1811"/>
      <c r="N1811"/>
      <c r="O1811"/>
      <c r="P1811"/>
      <c r="Q1811"/>
    </row>
    <row r="1812" spans="1:42" ht="14.25" x14ac:dyDescent="0.2">
      <c r="A1812" s="31"/>
      <c r="B1812" s="31"/>
      <c r="C1812" s="31" t="s">
        <v>34</v>
      </c>
      <c r="D1812" s="32"/>
      <c r="E1812" s="4"/>
      <c r="F1812" s="33">
        <f>[1]Source!AO1679</f>
        <v>126.44</v>
      </c>
      <c r="G1812" s="34" t="str">
        <f>[1]Source!DG1679</f>
        <v>)*1*20</v>
      </c>
      <c r="H1812" s="4">
        <f>[1]Source!AV1679</f>
        <v>1</v>
      </c>
      <c r="I1812" s="4">
        <f>IF([1]Source!BA1679&lt;&gt; 0, [1]Source!BA1679, 1)</f>
        <v>1</v>
      </c>
      <c r="J1812" s="33">
        <f>[1]Source!S1679</f>
        <v>1014048.8</v>
      </c>
      <c r="K1812" s="33"/>
      <c r="M1812"/>
      <c r="N1812"/>
      <c r="O1812"/>
      <c r="P1812"/>
      <c r="Q1812"/>
    </row>
    <row r="1813" spans="1:42" ht="14.25" x14ac:dyDescent="0.2">
      <c r="A1813" s="31"/>
      <c r="B1813" s="31"/>
      <c r="C1813" s="31" t="s">
        <v>33</v>
      </c>
      <c r="D1813" s="32"/>
      <c r="E1813" s="4"/>
      <c r="F1813" s="33">
        <f>[1]Source!AM1679</f>
        <v>11.24</v>
      </c>
      <c r="G1813" s="34" t="str">
        <f>[1]Source!DE1679</f>
        <v>)*1*20</v>
      </c>
      <c r="H1813" s="4">
        <f>[1]Source!AV1679</f>
        <v>1</v>
      </c>
      <c r="I1813" s="4">
        <f>IF([1]Source!BB1679&lt;&gt; 0, [1]Source!BB1679, 1)</f>
        <v>1</v>
      </c>
      <c r="J1813" s="33">
        <f>[1]Source!Q1679</f>
        <v>90144.8</v>
      </c>
      <c r="K1813" s="33"/>
      <c r="M1813"/>
      <c r="N1813"/>
      <c r="O1813"/>
      <c r="P1813"/>
      <c r="Q1813"/>
    </row>
    <row r="1814" spans="1:42" ht="14.25" x14ac:dyDescent="0.2">
      <c r="A1814" s="31"/>
      <c r="B1814" s="31"/>
      <c r="C1814" s="31" t="s">
        <v>37</v>
      </c>
      <c r="D1814" s="32"/>
      <c r="E1814" s="4"/>
      <c r="F1814" s="33">
        <f>[1]Source!AN1679</f>
        <v>5.43</v>
      </c>
      <c r="G1814" s="34" t="str">
        <f>[1]Source!DF1679</f>
        <v>)*1*20</v>
      </c>
      <c r="H1814" s="4">
        <f>[1]Source!AV1679</f>
        <v>1</v>
      </c>
      <c r="I1814" s="4">
        <f>IF([1]Source!BS1679&lt;&gt; 0, [1]Source!BS1679, 1)</f>
        <v>1</v>
      </c>
      <c r="J1814" s="41">
        <f>[1]Source!R1679</f>
        <v>43548.6</v>
      </c>
      <c r="K1814" s="33"/>
      <c r="M1814"/>
      <c r="N1814"/>
      <c r="O1814"/>
      <c r="P1814"/>
      <c r="Q1814"/>
    </row>
    <row r="1815" spans="1:42" ht="14.25" x14ac:dyDescent="0.2">
      <c r="A1815" s="31" t="s">
        <v>89</v>
      </c>
      <c r="B1815" s="31" t="str">
        <f>[1]Source!F1680</f>
        <v>цена псставщика</v>
      </c>
      <c r="C1815" s="31" t="str">
        <f>[1]Source!G1680</f>
        <v>Вешка сигнальная</v>
      </c>
      <c r="D1815" s="32" t="str">
        <f>[1]Source!H1680</f>
        <v>шт.</v>
      </c>
      <c r="E1815" s="4">
        <f>[1]Source!I1680</f>
        <v>49.999887999999999</v>
      </c>
      <c r="F1815" s="33">
        <f>[1]Source!AK1680</f>
        <v>649.16999999999996</v>
      </c>
      <c r="G1815" s="39" t="s">
        <v>90</v>
      </c>
      <c r="H1815" s="4">
        <f>[1]Source!AW1680</f>
        <v>1</v>
      </c>
      <c r="I1815" s="4">
        <f>IF([1]Source!BC1680&lt;&gt; 0, [1]Source!BC1680, 1)</f>
        <v>1</v>
      </c>
      <c r="J1815" s="33">
        <f>[1]Source!O1680</f>
        <v>32458.43</v>
      </c>
      <c r="K1815" s="33"/>
      <c r="M1815"/>
      <c r="N1815"/>
      <c r="O1815"/>
      <c r="P1815"/>
      <c r="Q1815"/>
      <c r="AB1815">
        <f>ROUND(([1]Source!BZ1680/100)*ROUND(([1]Source!AF1680*[1]Source!AV1680)*[1]Source!I1680, 2), 2)</f>
        <v>0</v>
      </c>
      <c r="AC1815">
        <f>[1]Source!X1680</f>
        <v>0</v>
      </c>
      <c r="AD1815">
        <f>ROUND(([1]Source!CA1680/100)*ROUND(([1]Source!AF1680*[1]Source!AV1680)*[1]Source!I1680, 2), 2)</f>
        <v>0</v>
      </c>
      <c r="AE1815">
        <f>[1]Source!Y1680</f>
        <v>0</v>
      </c>
      <c r="AF1815">
        <f>ROUND((175/100)*ROUND(([1]Source!AE1680*[1]Source!AV1680)*[1]Source!I1680, 2), 2)</f>
        <v>0</v>
      </c>
      <c r="AG1815">
        <f>ROUND((108/100)*ROUND([1]Source!CS1680*[1]Source!I1680, 2), 2)</f>
        <v>0</v>
      </c>
    </row>
    <row r="1816" spans="1:42" ht="14.25" x14ac:dyDescent="0.2">
      <c r="A1816" s="31"/>
      <c r="B1816" s="31"/>
      <c r="C1816" s="31" t="s">
        <v>40</v>
      </c>
      <c r="D1816" s="32" t="s">
        <v>39</v>
      </c>
      <c r="E1816" s="4">
        <f>[1]Source!AT1679</f>
        <v>70</v>
      </c>
      <c r="F1816" s="33"/>
      <c r="G1816" s="34"/>
      <c r="H1816" s="4"/>
      <c r="I1816" s="4"/>
      <c r="J1816" s="33">
        <f>SUM(AC1810:AC1815)</f>
        <v>709834.16</v>
      </c>
      <c r="K1816" s="33"/>
      <c r="M1816"/>
      <c r="N1816"/>
      <c r="O1816"/>
      <c r="P1816"/>
      <c r="Q1816"/>
    </row>
    <row r="1817" spans="1:42" ht="14.25" x14ac:dyDescent="0.2">
      <c r="A1817" s="31"/>
      <c r="B1817" s="31"/>
      <c r="C1817" s="31" t="s">
        <v>41</v>
      </c>
      <c r="D1817" s="32" t="s">
        <v>39</v>
      </c>
      <c r="E1817" s="4">
        <f>[1]Source!AU1679</f>
        <v>10</v>
      </c>
      <c r="F1817" s="33"/>
      <c r="G1817" s="34"/>
      <c r="H1817" s="4"/>
      <c r="I1817" s="4"/>
      <c r="J1817" s="33">
        <f>SUM(AE1810:AE1816)</f>
        <v>101404.88</v>
      </c>
      <c r="K1817" s="33"/>
      <c r="M1817"/>
      <c r="N1817"/>
      <c r="O1817"/>
      <c r="P1817"/>
      <c r="Q1817"/>
    </row>
    <row r="1818" spans="1:42" ht="14.25" x14ac:dyDescent="0.2">
      <c r="A1818" s="31"/>
      <c r="B1818" s="31"/>
      <c r="C1818" s="31" t="s">
        <v>38</v>
      </c>
      <c r="D1818" s="32" t="s">
        <v>39</v>
      </c>
      <c r="E1818" s="4">
        <f>108</f>
        <v>108</v>
      </c>
      <c r="F1818" s="33"/>
      <c r="G1818" s="34"/>
      <c r="H1818" s="4"/>
      <c r="I1818" s="4"/>
      <c r="J1818" s="33">
        <f>SUM(AG1810:AG1817)</f>
        <v>47032.49</v>
      </c>
      <c r="K1818" s="33"/>
      <c r="M1818"/>
      <c r="N1818"/>
      <c r="O1818"/>
      <c r="P1818"/>
      <c r="Q1818"/>
    </row>
    <row r="1819" spans="1:42" ht="14.25" x14ac:dyDescent="0.2">
      <c r="A1819" s="31"/>
      <c r="B1819" s="31"/>
      <c r="C1819" s="31" t="s">
        <v>42</v>
      </c>
      <c r="D1819" s="32" t="s">
        <v>43</v>
      </c>
      <c r="E1819" s="4">
        <f>[1]Source!AQ1679</f>
        <v>0.51</v>
      </c>
      <c r="F1819" s="33"/>
      <c r="G1819" s="34" t="str">
        <f>[1]Source!DI1679</f>
        <v>)*1*20</v>
      </c>
      <c r="H1819" s="4">
        <f>[1]Source!AV1679</f>
        <v>1</v>
      </c>
      <c r="I1819" s="4"/>
      <c r="J1819" s="33"/>
      <c r="K1819" s="33">
        <f>[1]Source!U1679</f>
        <v>4090.2</v>
      </c>
      <c r="M1819"/>
      <c r="N1819"/>
      <c r="O1819"/>
      <c r="P1819"/>
      <c r="Q1819"/>
    </row>
    <row r="1820" spans="1:42" ht="15" x14ac:dyDescent="0.25">
      <c r="A1820" s="35"/>
      <c r="B1820" s="35"/>
      <c r="C1820" s="35"/>
      <c r="D1820" s="35"/>
      <c r="E1820" s="35"/>
      <c r="F1820" s="35"/>
      <c r="G1820" s="35"/>
      <c r="H1820" s="35"/>
      <c r="I1820" s="36">
        <f>J1812+J1813+J1816+J1817+J1818+SUM(J1815:J1815)</f>
        <v>1994923.56</v>
      </c>
      <c r="J1820" s="36"/>
      <c r="K1820" s="37">
        <f>IF([1]Source!I1679&lt;&gt;0, ROUND(I1820/[1]Source!I1679, 2), 0)</f>
        <v>4974.87</v>
      </c>
      <c r="M1820"/>
      <c r="N1820"/>
      <c r="O1820"/>
      <c r="P1820"/>
      <c r="Q1820"/>
      <c r="AA1820" s="38">
        <f>I1820</f>
        <v>1994923.56</v>
      </c>
    </row>
    <row r="1821" spans="1:42" ht="57" x14ac:dyDescent="0.2">
      <c r="A1821" s="31">
        <v>254</v>
      </c>
      <c r="B1821" s="31" t="str">
        <f>[1]Source!F1681</f>
        <v>5.3-1102-29-2/1</v>
      </c>
      <c r="C1821" s="31" t="str">
        <f>[1]Source!G1681</f>
        <v>Разборка борта из снега по границе паркового покрытия и зеленых насаждений при отсутствии бортового камня</v>
      </c>
      <c r="D1821" s="32" t="str">
        <f>[1]Source!H1681</f>
        <v>10 м</v>
      </c>
      <c r="E1821" s="4">
        <f>[1]Source!I1681</f>
        <v>401</v>
      </c>
      <c r="F1821" s="33"/>
      <c r="G1821" s="34"/>
      <c r="H1821" s="4"/>
      <c r="I1821" s="4"/>
      <c r="J1821" s="33"/>
      <c r="K1821" s="33"/>
      <c r="M1821"/>
      <c r="N1821"/>
      <c r="O1821"/>
      <c r="P1821"/>
      <c r="Q1821"/>
      <c r="AB1821">
        <f>ROUND(([1]Source!BZ1681/100)*ROUND(([1]Source!AF1681*[1]Source!AV1681)*[1]Source!I1681, 2), 2)</f>
        <v>487182.92</v>
      </c>
      <c r="AC1821">
        <f>[1]Source!X1681</f>
        <v>487182.92</v>
      </c>
      <c r="AD1821">
        <f>ROUND(([1]Source!CA1681/100)*ROUND(([1]Source!AF1681*[1]Source!AV1681)*[1]Source!I1681, 2), 2)</f>
        <v>69597.56</v>
      </c>
      <c r="AE1821">
        <f>[1]Source!Y1681</f>
        <v>69597.56</v>
      </c>
      <c r="AF1821">
        <f>ROUND((175/100)*ROUND(([1]Source!AE1681*[1]Source!AV1681)*[1]Source!I1681, 2), 2)</f>
        <v>76210.05</v>
      </c>
      <c r="AG1821">
        <f>ROUND((108/100)*ROUND([1]Source!CS1681*[1]Source!I1681, 2), 2)</f>
        <v>47032.49</v>
      </c>
    </row>
    <row r="1822" spans="1:42" x14ac:dyDescent="0.2">
      <c r="C1822" s="40" t="str">
        <f>"Объем: "&amp;[1]Source!I1681&amp;"=4010/"&amp;"10"</f>
        <v>Объем: 401=4010/10</v>
      </c>
      <c r="M1822"/>
      <c r="N1822"/>
      <c r="O1822"/>
      <c r="P1822"/>
      <c r="Q1822"/>
    </row>
    <row r="1823" spans="1:42" ht="14.25" x14ac:dyDescent="0.2">
      <c r="A1823" s="31"/>
      <c r="B1823" s="31"/>
      <c r="C1823" s="31" t="s">
        <v>34</v>
      </c>
      <c r="D1823" s="32"/>
      <c r="E1823" s="4"/>
      <c r="F1823" s="33">
        <f>[1]Source!AO1681</f>
        <v>86.78</v>
      </c>
      <c r="G1823" s="34" t="str">
        <f>[1]Source!DG1681</f>
        <v>)*1*20</v>
      </c>
      <c r="H1823" s="4">
        <f>[1]Source!AV1681</f>
        <v>1</v>
      </c>
      <c r="I1823" s="4">
        <f>IF([1]Source!BA1681&lt;&gt; 0, [1]Source!BA1681, 1)</f>
        <v>1</v>
      </c>
      <c r="J1823" s="33">
        <f>[1]Source!S1681</f>
        <v>695975.6</v>
      </c>
      <c r="K1823" s="33"/>
      <c r="M1823"/>
      <c r="N1823"/>
      <c r="O1823"/>
      <c r="P1823"/>
      <c r="Q1823"/>
    </row>
    <row r="1824" spans="1:42" ht="14.25" x14ac:dyDescent="0.2">
      <c r="A1824" s="31"/>
      <c r="B1824" s="31"/>
      <c r="C1824" s="31" t="s">
        <v>33</v>
      </c>
      <c r="D1824" s="32"/>
      <c r="E1824" s="4"/>
      <c r="F1824" s="33">
        <f>[1]Source!AM1681</f>
        <v>11.24</v>
      </c>
      <c r="G1824" s="34" t="str">
        <f>[1]Source!DE1681</f>
        <v>)*1*20</v>
      </c>
      <c r="H1824" s="4">
        <f>[1]Source!AV1681</f>
        <v>1</v>
      </c>
      <c r="I1824" s="4">
        <f>IF([1]Source!BB1681&lt;&gt; 0, [1]Source!BB1681, 1)</f>
        <v>1</v>
      </c>
      <c r="J1824" s="33">
        <f>[1]Source!Q1681</f>
        <v>90144.8</v>
      </c>
      <c r="K1824" s="33"/>
      <c r="M1824"/>
      <c r="N1824"/>
      <c r="O1824"/>
      <c r="P1824"/>
      <c r="Q1824"/>
    </row>
    <row r="1825" spans="1:43" ht="14.25" x14ac:dyDescent="0.2">
      <c r="A1825" s="31"/>
      <c r="B1825" s="31"/>
      <c r="C1825" s="31" t="s">
        <v>37</v>
      </c>
      <c r="D1825" s="32"/>
      <c r="E1825" s="4"/>
      <c r="F1825" s="33">
        <f>[1]Source!AN1681</f>
        <v>5.43</v>
      </c>
      <c r="G1825" s="34" t="str">
        <f>[1]Source!DF1681</f>
        <v>)*1*20</v>
      </c>
      <c r="H1825" s="4">
        <f>[1]Source!AV1681</f>
        <v>1</v>
      </c>
      <c r="I1825" s="4">
        <f>IF([1]Source!BS1681&lt;&gt; 0, [1]Source!BS1681, 1)</f>
        <v>1</v>
      </c>
      <c r="J1825" s="41">
        <f>[1]Source!R1681</f>
        <v>43548.6</v>
      </c>
      <c r="K1825" s="33"/>
      <c r="M1825"/>
      <c r="N1825"/>
      <c r="O1825"/>
      <c r="P1825"/>
      <c r="Q1825"/>
    </row>
    <row r="1826" spans="1:43" ht="14.25" x14ac:dyDescent="0.2">
      <c r="A1826" s="31"/>
      <c r="B1826" s="31"/>
      <c r="C1826" s="31" t="s">
        <v>40</v>
      </c>
      <c r="D1826" s="32" t="s">
        <v>39</v>
      </c>
      <c r="E1826" s="4">
        <f>[1]Source!AT1681</f>
        <v>70</v>
      </c>
      <c r="F1826" s="33"/>
      <c r="G1826" s="34"/>
      <c r="H1826" s="4"/>
      <c r="I1826" s="4"/>
      <c r="J1826" s="33">
        <f>SUM(AC1821:AC1825)</f>
        <v>487182.92</v>
      </c>
      <c r="K1826" s="33"/>
      <c r="M1826"/>
      <c r="N1826"/>
      <c r="O1826"/>
      <c r="P1826"/>
      <c r="Q1826"/>
    </row>
    <row r="1827" spans="1:43" ht="14.25" x14ac:dyDescent="0.2">
      <c r="A1827" s="31"/>
      <c r="B1827" s="31"/>
      <c r="C1827" s="31" t="s">
        <v>41</v>
      </c>
      <c r="D1827" s="32" t="s">
        <v>39</v>
      </c>
      <c r="E1827" s="4">
        <f>[1]Source!AU1681</f>
        <v>10</v>
      </c>
      <c r="F1827" s="33"/>
      <c r="G1827" s="34"/>
      <c r="H1827" s="4"/>
      <c r="I1827" s="4"/>
      <c r="J1827" s="33">
        <f>SUM(AE1821:AE1826)</f>
        <v>69597.56</v>
      </c>
      <c r="K1827" s="33"/>
      <c r="M1827"/>
      <c r="N1827"/>
      <c r="O1827"/>
      <c r="P1827"/>
      <c r="Q1827"/>
    </row>
    <row r="1828" spans="1:43" ht="14.25" x14ac:dyDescent="0.2">
      <c r="A1828" s="31"/>
      <c r="B1828" s="31"/>
      <c r="C1828" s="31" t="s">
        <v>38</v>
      </c>
      <c r="D1828" s="32" t="s">
        <v>39</v>
      </c>
      <c r="E1828" s="4">
        <f>108</f>
        <v>108</v>
      </c>
      <c r="F1828" s="33"/>
      <c r="G1828" s="34"/>
      <c r="H1828" s="4"/>
      <c r="I1828" s="4"/>
      <c r="J1828" s="33">
        <f>SUM(AG1821:AG1827)</f>
        <v>47032.49</v>
      </c>
      <c r="K1828" s="33"/>
      <c r="M1828"/>
      <c r="N1828"/>
      <c r="O1828"/>
      <c r="P1828"/>
      <c r="Q1828"/>
    </row>
    <row r="1829" spans="1:43" ht="14.25" x14ac:dyDescent="0.2">
      <c r="A1829" s="31"/>
      <c r="B1829" s="31"/>
      <c r="C1829" s="31" t="s">
        <v>42</v>
      </c>
      <c r="D1829" s="32" t="s">
        <v>43</v>
      </c>
      <c r="E1829" s="4">
        <f>[1]Source!AQ1681</f>
        <v>0.35</v>
      </c>
      <c r="F1829" s="33"/>
      <c r="G1829" s="34" t="str">
        <f>[1]Source!DI1681</f>
        <v>)*1*20</v>
      </c>
      <c r="H1829" s="4">
        <f>[1]Source!AV1681</f>
        <v>1</v>
      </c>
      <c r="I1829" s="4"/>
      <c r="J1829" s="33"/>
      <c r="K1829" s="33">
        <f>[1]Source!U1681</f>
        <v>2807</v>
      </c>
      <c r="M1829"/>
      <c r="N1829"/>
      <c r="O1829"/>
      <c r="P1829"/>
      <c r="Q1829"/>
    </row>
    <row r="1830" spans="1:43" ht="15" x14ac:dyDescent="0.25">
      <c r="A1830" s="35"/>
      <c r="B1830" s="35"/>
      <c r="C1830" s="35"/>
      <c r="D1830" s="35"/>
      <c r="E1830" s="35"/>
      <c r="F1830" s="35"/>
      <c r="G1830" s="35"/>
      <c r="H1830" s="35"/>
      <c r="I1830" s="36">
        <f>J1823+J1824+J1826+J1827+J1828</f>
        <v>1389933.37</v>
      </c>
      <c r="J1830" s="36"/>
      <c r="K1830" s="37">
        <f>IF([1]Source!I1681&lt;&gt;0, ROUND(I1830/[1]Source!I1681, 2), 0)</f>
        <v>3466.17</v>
      </c>
      <c r="M1830"/>
      <c r="N1830"/>
      <c r="O1830"/>
      <c r="P1830"/>
      <c r="Q1830"/>
      <c r="AA1830" s="38">
        <f>I1830</f>
        <v>1389933.37</v>
      </c>
    </row>
    <row r="1831" spans="1:43" x14ac:dyDescent="0.2">
      <c r="M1831"/>
      <c r="N1831"/>
      <c r="O1831"/>
      <c r="P1831"/>
      <c r="Q1831"/>
    </row>
    <row r="1832" spans="1:43" ht="45" x14ac:dyDescent="0.25">
      <c r="A1832" s="42" t="str">
        <f>CONCATENATE("Итого по разделу: ",IF([1]Source!G1683&lt;&gt;"Новый раздел", [1]Source!G1683, ""))</f>
        <v>Итого по разделу: Снежный борт на границе между покрытием парковым со вставками участков зеленых насаждений и другими садово-парковым покрытиями.Установка вешек сигнальных дорожных.</v>
      </c>
      <c r="B1832" s="42"/>
      <c r="C1832" s="42"/>
      <c r="D1832" s="42"/>
      <c r="E1832" s="42"/>
      <c r="F1832" s="42"/>
      <c r="G1832" s="42"/>
      <c r="H1832" s="42"/>
      <c r="I1832" s="43">
        <f>SUM(AA1809:AA1831)</f>
        <v>3384856.93</v>
      </c>
      <c r="J1832" s="44"/>
      <c r="K1832" s="47"/>
      <c r="L1832" s="38">
        <f>I1832</f>
        <v>3384856.93</v>
      </c>
      <c r="M1832" s="2">
        <f>ROUND(I1832*$I$4874,2)</f>
        <v>2444566.85</v>
      </c>
      <c r="N1832" s="2">
        <f>ROUND(M1832*1.2/105*100,2)</f>
        <v>2793790.69</v>
      </c>
      <c r="O1832" s="2">
        <f>ROUND(N1832*0.05,2)</f>
        <v>139689.53</v>
      </c>
      <c r="P1832" s="2">
        <f>N1832+O1832</f>
        <v>2933480.2199999997</v>
      </c>
      <c r="Q1832" s="3">
        <v>70</v>
      </c>
      <c r="R1832">
        <v>2</v>
      </c>
      <c r="S1832" s="2">
        <v>440022.02</v>
      </c>
      <c r="AQ1832" s="46" t="str">
        <f>CONCATENATE("Итого по разделу: ",IF([1]Source!G1683&lt;&gt;"Новый раздел", [1]Source!G1683, ""))</f>
        <v>Итого по разделу: Снежный борт на границе между покрытием парковым со вставками участков зеленых насаждений и другими садово-парковым покрытиями.Установка вешек сигнальных дорожных.</v>
      </c>
    </row>
    <row r="1833" spans="1:43" x14ac:dyDescent="0.2">
      <c r="M1833"/>
      <c r="N1833"/>
      <c r="O1833"/>
      <c r="P1833"/>
      <c r="Q1833"/>
    </row>
    <row r="1834" spans="1:43" x14ac:dyDescent="0.2">
      <c r="M1834"/>
      <c r="N1834"/>
      <c r="O1834"/>
      <c r="P1834"/>
      <c r="Q1834"/>
    </row>
    <row r="1835" spans="1:43" ht="16.5" x14ac:dyDescent="0.25">
      <c r="A1835" s="29" t="str">
        <f>CONCATENATE("Раздел: ",IF([1]Source!G1713&lt;&gt;"Новый раздел", [1]Source!G1713, ""))</f>
        <v>Раздел: "Патриаршее подворье" ( S= 4987,1м2)</v>
      </c>
      <c r="B1835" s="29"/>
      <c r="C1835" s="29"/>
      <c r="D1835" s="29"/>
      <c r="E1835" s="29"/>
      <c r="F1835" s="29"/>
      <c r="G1835" s="29"/>
      <c r="H1835" s="29"/>
      <c r="I1835" s="29"/>
      <c r="J1835" s="29"/>
      <c r="K1835" s="29"/>
      <c r="M1835"/>
      <c r="N1835"/>
      <c r="O1835"/>
      <c r="P1835"/>
      <c r="Q1835"/>
    </row>
    <row r="1836" spans="1:43" x14ac:dyDescent="0.2">
      <c r="M1836"/>
      <c r="N1836"/>
      <c r="O1836"/>
      <c r="P1836"/>
      <c r="Q1836"/>
    </row>
    <row r="1837" spans="1:43" ht="16.5" x14ac:dyDescent="0.25">
      <c r="A1837" s="29" t="str">
        <f>CONCATENATE("Подраздел: ",IF([1]Source!G1717&lt;&gt;"Новый подраздел", [1]Source!G1717, ""))</f>
        <v>Подраздел: Содержание покрытий " Патриаршего подворья ".</v>
      </c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M1837"/>
      <c r="N1837"/>
      <c r="O1837"/>
      <c r="P1837"/>
      <c r="Q1837"/>
    </row>
    <row r="1838" spans="1:43" ht="42.75" x14ac:dyDescent="0.2">
      <c r="A1838" s="31">
        <v>255</v>
      </c>
      <c r="B1838" s="31" t="str">
        <f>[1]Source!F1721</f>
        <v>калькуляция</v>
      </c>
      <c r="C1838" s="31" t="str">
        <f>[1]Source!G1721</f>
        <v>Подметание  механизированным способом ( S= 4987,1м2 *0,7=3490,97 м2)</v>
      </c>
      <c r="D1838" s="32" t="str">
        <f>[1]Source!H1721</f>
        <v>м2</v>
      </c>
      <c r="E1838" s="4">
        <f>[1]Source!I1721</f>
        <v>3490.97</v>
      </c>
      <c r="F1838" s="33"/>
      <c r="G1838" s="34"/>
      <c r="H1838" s="4"/>
      <c r="I1838" s="4"/>
      <c r="J1838" s="33"/>
      <c r="K1838" s="33"/>
      <c r="M1838"/>
      <c r="N1838"/>
      <c r="O1838"/>
      <c r="P1838"/>
      <c r="Q1838"/>
      <c r="AB1838">
        <f>ROUND(([1]Source!BZ1721/100)*ROUND(([1]Source!AF1721*[1]Source!AV1721)*[1]Source!I1721, 2), 2)</f>
        <v>0</v>
      </c>
      <c r="AC1838">
        <f>[1]Source!X1721</f>
        <v>0</v>
      </c>
      <c r="AD1838">
        <f>ROUND(([1]Source!CA1721/100)*ROUND(([1]Source!AF1721*[1]Source!AV1721)*[1]Source!I1721, 2), 2)</f>
        <v>0</v>
      </c>
      <c r="AE1838">
        <f>[1]Source!Y1721</f>
        <v>0</v>
      </c>
      <c r="AF1838">
        <f>ROUND((175/100)*ROUND(([1]Source!AE1721*[1]Source!AV1721)*[1]Source!I1721, 2), 2)</f>
        <v>0</v>
      </c>
      <c r="AG1838">
        <f>ROUND((108/100)*ROUND([1]Source!CS1721*[1]Source!I1721, 2), 2)</f>
        <v>0</v>
      </c>
    </row>
    <row r="1839" spans="1:43" ht="14.25" x14ac:dyDescent="0.2">
      <c r="A1839" s="31"/>
      <c r="B1839" s="31"/>
      <c r="C1839" s="31" t="s">
        <v>33</v>
      </c>
      <c r="D1839" s="32"/>
      <c r="E1839" s="4"/>
      <c r="F1839" s="33">
        <f>[1]Source!AM1721</f>
        <v>0.65</v>
      </c>
      <c r="G1839" s="34" t="str">
        <f>[1]Source!DE1721</f>
        <v>*4*164</v>
      </c>
      <c r="H1839" s="4">
        <f>[1]Source!AV1721</f>
        <v>1</v>
      </c>
      <c r="I1839" s="4">
        <f>IF([1]Source!BB1721&lt;&gt; 0, [1]Source!BB1721, 1)</f>
        <v>1</v>
      </c>
      <c r="J1839" s="33">
        <f>[1]Source!Q1721</f>
        <v>1488549.61</v>
      </c>
      <c r="K1839" s="33"/>
      <c r="M1839"/>
      <c r="N1839"/>
      <c r="O1839"/>
      <c r="P1839"/>
      <c r="Q1839"/>
    </row>
    <row r="1840" spans="1:43" ht="15" x14ac:dyDescent="0.25">
      <c r="A1840" s="35"/>
      <c r="B1840" s="35"/>
      <c r="C1840" s="35"/>
      <c r="D1840" s="35"/>
      <c r="E1840" s="35"/>
      <c r="F1840" s="35"/>
      <c r="G1840" s="35"/>
      <c r="H1840" s="35"/>
      <c r="I1840" s="36">
        <f>J1839</f>
        <v>1488549.61</v>
      </c>
      <c r="J1840" s="36"/>
      <c r="K1840" s="37">
        <f>IF([1]Source!I1721&lt;&gt;0, ROUND(I1840/[1]Source!I1721, 2), 0)</f>
        <v>426.4</v>
      </c>
      <c r="M1840"/>
      <c r="N1840"/>
      <c r="O1840"/>
      <c r="P1840"/>
      <c r="Q1840"/>
      <c r="AA1840" s="38">
        <f>I1840</f>
        <v>1488549.61</v>
      </c>
    </row>
    <row r="1841" spans="1:33" ht="28.5" x14ac:dyDescent="0.2">
      <c r="A1841" s="31">
        <v>256</v>
      </c>
      <c r="B1841" s="31" t="str">
        <f>[1]Source!F1722</f>
        <v>калькуляция</v>
      </c>
      <c r="C1841" s="31" t="str">
        <f>[1]Source!G1722</f>
        <v>Подметание дорожек  вручную ( S=4987,1 м2*0,3=1496,13 м2)</v>
      </c>
      <c r="D1841" s="32" t="str">
        <f>[1]Source!H1722</f>
        <v>м2</v>
      </c>
      <c r="E1841" s="4">
        <f>[1]Source!I1722</f>
        <v>1496.13</v>
      </c>
      <c r="F1841" s="33"/>
      <c r="G1841" s="34"/>
      <c r="H1841" s="4"/>
      <c r="I1841" s="4"/>
      <c r="J1841" s="33"/>
      <c r="K1841" s="33"/>
      <c r="M1841"/>
      <c r="N1841"/>
      <c r="O1841"/>
      <c r="P1841"/>
      <c r="Q1841"/>
      <c r="AB1841">
        <f>ROUND(([1]Source!BZ1722/100)*ROUND(([1]Source!AF1722*[1]Source!AV1722)*[1]Source!I1722, 2), 2)</f>
        <v>0</v>
      </c>
      <c r="AC1841">
        <f>[1]Source!X1722</f>
        <v>0</v>
      </c>
      <c r="AD1841">
        <f>ROUND(([1]Source!CA1722/100)*ROUND(([1]Source!AF1722*[1]Source!AV1722)*[1]Source!I1722, 2), 2)</f>
        <v>0</v>
      </c>
      <c r="AE1841">
        <f>[1]Source!Y1722</f>
        <v>0</v>
      </c>
      <c r="AF1841">
        <f>ROUND((175/100)*ROUND(([1]Source!AE1722*[1]Source!AV1722)*[1]Source!I1722, 2), 2)</f>
        <v>0</v>
      </c>
      <c r="AG1841">
        <f>ROUND((108/100)*ROUND([1]Source!CS1722*[1]Source!I1722, 2), 2)</f>
        <v>0</v>
      </c>
    </row>
    <row r="1842" spans="1:33" ht="14.25" x14ac:dyDescent="0.2">
      <c r="A1842" s="31"/>
      <c r="B1842" s="31"/>
      <c r="C1842" s="31" t="s">
        <v>34</v>
      </c>
      <c r="D1842" s="32"/>
      <c r="E1842" s="4"/>
      <c r="F1842" s="33">
        <f>[1]Source!AO1722</f>
        <v>1.32</v>
      </c>
      <c r="G1842" s="34" t="str">
        <f>[1]Source!DG1722</f>
        <v>*4*164</v>
      </c>
      <c r="H1842" s="4">
        <f>[1]Source!AV1722</f>
        <v>1</v>
      </c>
      <c r="I1842" s="4">
        <f>IF([1]Source!BA1722&lt;&gt; 0, [1]Source!BA1722, 1)</f>
        <v>1</v>
      </c>
      <c r="J1842" s="33">
        <f>[1]Source!S1722</f>
        <v>1295528.8899999999</v>
      </c>
      <c r="K1842" s="33"/>
      <c r="M1842"/>
      <c r="N1842"/>
      <c r="O1842"/>
      <c r="P1842"/>
      <c r="Q1842"/>
    </row>
    <row r="1843" spans="1:33" ht="15" x14ac:dyDescent="0.25">
      <c r="A1843" s="35"/>
      <c r="B1843" s="35"/>
      <c r="C1843" s="35"/>
      <c r="D1843" s="35"/>
      <c r="E1843" s="35"/>
      <c r="F1843" s="35"/>
      <c r="G1843" s="35"/>
      <c r="H1843" s="35"/>
      <c r="I1843" s="36">
        <f>J1842</f>
        <v>1295528.8899999999</v>
      </c>
      <c r="J1843" s="36"/>
      <c r="K1843" s="37">
        <f>IF([1]Source!I1722&lt;&gt;0, ROUND(I1843/[1]Source!I1722, 2), 0)</f>
        <v>865.92</v>
      </c>
      <c r="M1843"/>
      <c r="N1843"/>
      <c r="O1843"/>
      <c r="P1843"/>
      <c r="Q1843"/>
      <c r="AA1843" s="38">
        <f>I1843</f>
        <v>1295528.8899999999</v>
      </c>
    </row>
    <row r="1844" spans="1:33" ht="28.5" x14ac:dyDescent="0.2">
      <c r="A1844" s="31">
        <v>257</v>
      </c>
      <c r="B1844" s="31" t="str">
        <f>[1]Source!F1723</f>
        <v>калькуляция</v>
      </c>
      <c r="C1844" s="31" t="str">
        <f>[1]Source!G1723</f>
        <v>Мытье дорожек  механизированным способом( 30% от 4987,1 м2)</v>
      </c>
      <c r="D1844" s="32" t="str">
        <f>[1]Source!H1723</f>
        <v>м2</v>
      </c>
      <c r="E1844" s="4">
        <f>[1]Source!I1723</f>
        <v>1496.13</v>
      </c>
      <c r="F1844" s="33"/>
      <c r="G1844" s="34"/>
      <c r="H1844" s="4"/>
      <c r="I1844" s="4"/>
      <c r="J1844" s="33"/>
      <c r="K1844" s="33"/>
      <c r="M1844"/>
      <c r="N1844"/>
      <c r="O1844"/>
      <c r="P1844"/>
      <c r="Q1844"/>
      <c r="AB1844">
        <f>ROUND(([1]Source!BZ1723/100)*ROUND(([1]Source!AF1723*[1]Source!AV1723)*[1]Source!I1723, 2), 2)</f>
        <v>0</v>
      </c>
      <c r="AC1844">
        <f>[1]Source!X1723</f>
        <v>0</v>
      </c>
      <c r="AD1844">
        <f>ROUND(([1]Source!CA1723/100)*ROUND(([1]Source!AF1723*[1]Source!AV1723)*[1]Source!I1723, 2), 2)</f>
        <v>0</v>
      </c>
      <c r="AE1844">
        <f>[1]Source!Y1723</f>
        <v>0</v>
      </c>
      <c r="AF1844">
        <f>ROUND((175/100)*ROUND(([1]Source!AE1723*[1]Source!AV1723)*[1]Source!I1723, 2), 2)</f>
        <v>0</v>
      </c>
      <c r="AG1844">
        <f>ROUND((108/100)*ROUND([1]Source!CS1723*[1]Source!I1723, 2), 2)</f>
        <v>0</v>
      </c>
    </row>
    <row r="1845" spans="1:33" ht="14.25" x14ac:dyDescent="0.2">
      <c r="A1845" s="31"/>
      <c r="B1845" s="31"/>
      <c r="C1845" s="31" t="s">
        <v>33</v>
      </c>
      <c r="D1845" s="32"/>
      <c r="E1845" s="4"/>
      <c r="F1845" s="33">
        <f>[1]Source!AM1723</f>
        <v>3.28</v>
      </c>
      <c r="G1845" s="34" t="str">
        <f>[1]Source!DE1723</f>
        <v>*1*164</v>
      </c>
      <c r="H1845" s="4">
        <f>[1]Source!AV1723</f>
        <v>1</v>
      </c>
      <c r="I1845" s="4">
        <f>IF([1]Source!BB1723&lt;&gt; 0, [1]Source!BB1723, 1)</f>
        <v>1</v>
      </c>
      <c r="J1845" s="33">
        <f>[1]Source!Q1723</f>
        <v>804798.25</v>
      </c>
      <c r="K1845" s="33"/>
      <c r="M1845"/>
      <c r="N1845"/>
      <c r="O1845"/>
      <c r="P1845"/>
      <c r="Q1845"/>
    </row>
    <row r="1846" spans="1:33" ht="57" x14ac:dyDescent="0.2">
      <c r="A1846" s="31" t="s">
        <v>91</v>
      </c>
      <c r="B1846" s="31" t="str">
        <f>[1]Source!F1724</f>
        <v>цена поставщика</v>
      </c>
      <c r="C1846" s="31" t="str">
        <f>[1]Source!G1724</f>
        <v>Средство для механизированной мойки дорожных покрытий в зимнее время -ПГМ Жидкий хлористый кальций</v>
      </c>
      <c r="D1846" s="32" t="str">
        <f>[1]Source!H1724</f>
        <v>л</v>
      </c>
      <c r="E1846" s="4">
        <f>[1]Source!I1724</f>
        <v>73.609595999999996</v>
      </c>
      <c r="F1846" s="33">
        <f>[1]Source!AK1724</f>
        <v>11.77</v>
      </c>
      <c r="G1846" s="39" t="s">
        <v>79</v>
      </c>
      <c r="H1846" s="4">
        <f>[1]Source!AW1724</f>
        <v>1</v>
      </c>
      <c r="I1846" s="4">
        <f>IF([1]Source!BC1724&lt;&gt; 0, [1]Source!BC1724, 1)</f>
        <v>1</v>
      </c>
      <c r="J1846" s="33">
        <f>[1]Source!O1724</f>
        <v>866.38</v>
      </c>
      <c r="K1846" s="33"/>
      <c r="M1846"/>
      <c r="N1846"/>
      <c r="O1846"/>
      <c r="P1846"/>
      <c r="Q1846"/>
      <c r="AB1846">
        <f>ROUND(([1]Source!BZ1724/100)*ROUND(([1]Source!AF1724*[1]Source!AV1724)*[1]Source!I1724, 2), 2)</f>
        <v>0</v>
      </c>
      <c r="AC1846">
        <f>[1]Source!X1724</f>
        <v>0</v>
      </c>
      <c r="AD1846">
        <f>ROUND(([1]Source!CA1724/100)*ROUND(([1]Source!AF1724*[1]Source!AV1724)*[1]Source!I1724, 2), 2)</f>
        <v>0</v>
      </c>
      <c r="AE1846">
        <f>[1]Source!Y1724</f>
        <v>0</v>
      </c>
      <c r="AF1846">
        <f>ROUND((175/100)*ROUND(([1]Source!AE1724*[1]Source!AV1724)*[1]Source!I1724, 2), 2)</f>
        <v>0</v>
      </c>
      <c r="AG1846">
        <f>ROUND((108/100)*ROUND([1]Source!CS1724*[1]Source!I1724, 2), 2)</f>
        <v>0</v>
      </c>
    </row>
    <row r="1847" spans="1:33" ht="15" x14ac:dyDescent="0.25">
      <c r="A1847" s="35"/>
      <c r="B1847" s="35"/>
      <c r="C1847" s="35"/>
      <c r="D1847" s="35"/>
      <c r="E1847" s="35"/>
      <c r="F1847" s="35"/>
      <c r="G1847" s="35"/>
      <c r="H1847" s="35"/>
      <c r="I1847" s="36">
        <f>J1845+SUM(J1846:J1846)</f>
        <v>805664.63</v>
      </c>
      <c r="J1847" s="36"/>
      <c r="K1847" s="37">
        <f>IF([1]Source!I1723&lt;&gt;0, ROUND(I1847/[1]Source!I1723, 2), 0)</f>
        <v>538.5</v>
      </c>
      <c r="M1847"/>
      <c r="N1847"/>
      <c r="O1847"/>
      <c r="P1847"/>
      <c r="Q1847"/>
      <c r="AA1847" s="38">
        <f>I1847</f>
        <v>805664.63</v>
      </c>
    </row>
    <row r="1848" spans="1:33" ht="42.75" x14ac:dyDescent="0.2">
      <c r="A1848" s="31">
        <v>258</v>
      </c>
      <c r="B1848" s="31" t="str">
        <f>[1]Source!F1725</f>
        <v>5.3-1102-12-1/1</v>
      </c>
      <c r="C1848" s="31" t="str">
        <f>[1]Source!G1725</f>
        <v>Уборка снега средствами малой механизации ( 4987,1м2 *0,7 = 3490,97 м2)</v>
      </c>
      <c r="D1848" s="32" t="str">
        <f>[1]Source!H1725</f>
        <v>1000 м2</v>
      </c>
      <c r="E1848" s="4">
        <f>[1]Source!I1725</f>
        <v>3.4909699999999999</v>
      </c>
      <c r="F1848" s="33"/>
      <c r="G1848" s="34"/>
      <c r="H1848" s="4"/>
      <c r="I1848" s="4"/>
      <c r="J1848" s="33"/>
      <c r="K1848" s="33"/>
      <c r="M1848"/>
      <c r="N1848"/>
      <c r="O1848"/>
      <c r="P1848"/>
      <c r="Q1848"/>
      <c r="AB1848">
        <f>ROUND(([1]Source!BZ1725/100)*ROUND(([1]Source!AF1725*[1]Source!AV1725)*[1]Source!I1725, 2), 2)</f>
        <v>0</v>
      </c>
      <c r="AC1848">
        <f>[1]Source!X1725</f>
        <v>0</v>
      </c>
      <c r="AD1848">
        <f>ROUND(([1]Source!CA1725/100)*ROUND(([1]Source!AF1725*[1]Source!AV1725)*[1]Source!I1725, 2), 2)</f>
        <v>0</v>
      </c>
      <c r="AE1848">
        <f>[1]Source!Y1725</f>
        <v>0</v>
      </c>
      <c r="AF1848">
        <f>ROUND((175/100)*ROUND(([1]Source!AE1725*[1]Source!AV1725)*[1]Source!I1725, 2), 2)</f>
        <v>968787.75</v>
      </c>
      <c r="AG1848">
        <f>ROUND((108/100)*ROUND([1]Source!CS1725*[1]Source!I1725, 2), 2)</f>
        <v>597880.43999999994</v>
      </c>
    </row>
    <row r="1849" spans="1:33" x14ac:dyDescent="0.2">
      <c r="C1849" s="40" t="str">
        <f>"Объем: "&amp;[1]Source!I1725&amp;"=3490,97/"&amp;"1000"</f>
        <v>Объем: 3,49097=3490,97/1000</v>
      </c>
      <c r="M1849"/>
      <c r="N1849"/>
      <c r="O1849"/>
      <c r="P1849"/>
      <c r="Q1849"/>
    </row>
    <row r="1850" spans="1:33" ht="14.25" x14ac:dyDescent="0.2">
      <c r="A1850" s="31"/>
      <c r="B1850" s="31"/>
      <c r="C1850" s="31" t="s">
        <v>33</v>
      </c>
      <c r="D1850" s="32"/>
      <c r="E1850" s="4"/>
      <c r="F1850" s="33">
        <f>[1]Source!AM1725</f>
        <v>708.24</v>
      </c>
      <c r="G1850" s="34" t="str">
        <f>[1]Source!DE1725</f>
        <v>*4*168</v>
      </c>
      <c r="H1850" s="4">
        <f>[1]Source!AV1725</f>
        <v>1</v>
      </c>
      <c r="I1850" s="4">
        <f>IF([1]Source!BB1725&lt;&gt; 0, [1]Source!BB1725, 1)</f>
        <v>1</v>
      </c>
      <c r="J1850" s="33">
        <f>[1]Source!Q1725</f>
        <v>1661482.77</v>
      </c>
      <c r="K1850" s="33"/>
      <c r="M1850"/>
      <c r="N1850"/>
      <c r="O1850"/>
      <c r="P1850"/>
      <c r="Q1850"/>
    </row>
    <row r="1851" spans="1:33" ht="14.25" x14ac:dyDescent="0.2">
      <c r="A1851" s="31"/>
      <c r="B1851" s="31"/>
      <c r="C1851" s="31" t="s">
        <v>37</v>
      </c>
      <c r="D1851" s="32"/>
      <c r="E1851" s="4"/>
      <c r="F1851" s="33">
        <f>[1]Source!AN1725</f>
        <v>235.98</v>
      </c>
      <c r="G1851" s="34" t="str">
        <f>[1]Source!DF1725</f>
        <v>*4*168</v>
      </c>
      <c r="H1851" s="4">
        <f>[1]Source!AV1725</f>
        <v>1</v>
      </c>
      <c r="I1851" s="4">
        <f>IF([1]Source!BS1725&lt;&gt; 0, [1]Source!BS1725, 1)</f>
        <v>1</v>
      </c>
      <c r="J1851" s="41">
        <f>[1]Source!R1725</f>
        <v>553593</v>
      </c>
      <c r="K1851" s="33"/>
      <c r="M1851"/>
      <c r="N1851"/>
      <c r="O1851"/>
      <c r="P1851"/>
      <c r="Q1851"/>
    </row>
    <row r="1852" spans="1:33" ht="14.25" x14ac:dyDescent="0.2">
      <c r="A1852" s="31"/>
      <c r="B1852" s="31"/>
      <c r="C1852" s="31" t="s">
        <v>38</v>
      </c>
      <c r="D1852" s="32" t="s">
        <v>39</v>
      </c>
      <c r="E1852" s="4">
        <f>108</f>
        <v>108</v>
      </c>
      <c r="F1852" s="33"/>
      <c r="G1852" s="34"/>
      <c r="H1852" s="4"/>
      <c r="I1852" s="4"/>
      <c r="J1852" s="33">
        <f>SUM(AG1848:AG1851)</f>
        <v>597880.43999999994</v>
      </c>
      <c r="K1852" s="33"/>
      <c r="M1852"/>
      <c r="N1852"/>
      <c r="O1852"/>
      <c r="P1852"/>
      <c r="Q1852"/>
    </row>
    <row r="1853" spans="1:33" ht="15" x14ac:dyDescent="0.25">
      <c r="A1853" s="35"/>
      <c r="B1853" s="35"/>
      <c r="C1853" s="35"/>
      <c r="D1853" s="35"/>
      <c r="E1853" s="35"/>
      <c r="F1853" s="35"/>
      <c r="G1853" s="35"/>
      <c r="H1853" s="35"/>
      <c r="I1853" s="36">
        <f>J1850+J1852</f>
        <v>2259363.21</v>
      </c>
      <c r="J1853" s="36"/>
      <c r="K1853" s="37">
        <f>IF([1]Source!I1725&lt;&gt;0, ROUND(I1853/[1]Source!I1725, 2), 0)</f>
        <v>647202.13</v>
      </c>
      <c r="M1853"/>
      <c r="N1853"/>
      <c r="O1853"/>
      <c r="P1853"/>
      <c r="Q1853"/>
      <c r="AA1853" s="38">
        <f>I1853</f>
        <v>2259363.21</v>
      </c>
    </row>
    <row r="1854" spans="1:33" ht="42.75" x14ac:dyDescent="0.2">
      <c r="A1854" s="31">
        <v>259</v>
      </c>
      <c r="B1854" s="31" t="str">
        <f>[1]Source!F1726</f>
        <v>5.3-1102-8-1/1</v>
      </c>
      <c r="C1854" s="31" t="str">
        <f>[1]Source!G1726</f>
        <v>Уборка свежевыпавшего снега вручную толщиной слоя до 10 см ( 4987,1 м2 * 0,1*0,7*0,5 = 174,55 м2 )</v>
      </c>
      <c r="D1854" s="32" t="str">
        <f>[1]Source!H1726</f>
        <v>100 м2</v>
      </c>
      <c r="E1854" s="4">
        <f>[1]Source!I1726</f>
        <v>1.7455000000000001</v>
      </c>
      <c r="F1854" s="33"/>
      <c r="G1854" s="34"/>
      <c r="H1854" s="4"/>
      <c r="I1854" s="4"/>
      <c r="J1854" s="33"/>
      <c r="K1854" s="33"/>
      <c r="M1854"/>
      <c r="N1854"/>
      <c r="O1854"/>
      <c r="P1854"/>
      <c r="Q1854"/>
      <c r="AB1854">
        <f>ROUND(([1]Source!BZ1726/100)*ROUND(([1]Source!AF1726*[1]Source!AV1726)*[1]Source!I1726, 2), 2)</f>
        <v>132317.56</v>
      </c>
      <c r="AC1854">
        <f>[1]Source!X1726</f>
        <v>132317.56</v>
      </c>
      <c r="AD1854">
        <f>ROUND(([1]Source!CA1726/100)*ROUND(([1]Source!AF1726*[1]Source!AV1726)*[1]Source!I1726, 2), 2)</f>
        <v>18902.509999999998</v>
      </c>
      <c r="AE1854">
        <f>[1]Source!Y1726</f>
        <v>18902.509999999998</v>
      </c>
      <c r="AF1854">
        <f>ROUND((175/100)*ROUND(([1]Source!AE1726*[1]Source!AV1726)*[1]Source!I1726, 2), 2)</f>
        <v>0</v>
      </c>
      <c r="AG1854">
        <f>ROUND((108/100)*ROUND([1]Source!CS1726*[1]Source!I1726, 2), 2)</f>
        <v>0</v>
      </c>
    </row>
    <row r="1855" spans="1:33" x14ac:dyDescent="0.2">
      <c r="C1855" s="40" t="str">
        <f>"Объем: "&amp;[1]Source!I1726&amp;"=174,55/"&amp;"100"</f>
        <v>Объем: 1,7455=174,55/100</v>
      </c>
      <c r="M1855"/>
      <c r="N1855"/>
      <c r="O1855"/>
      <c r="P1855"/>
      <c r="Q1855"/>
    </row>
    <row r="1856" spans="1:33" ht="14.25" x14ac:dyDescent="0.2">
      <c r="A1856" s="31"/>
      <c r="B1856" s="31"/>
      <c r="C1856" s="31" t="s">
        <v>34</v>
      </c>
      <c r="D1856" s="32"/>
      <c r="E1856" s="4"/>
      <c r="F1856" s="33">
        <f>[1]Source!AO1726</f>
        <v>161.15</v>
      </c>
      <c r="G1856" s="34" t="str">
        <f>[1]Source!DG1726</f>
        <v>*4*168</v>
      </c>
      <c r="H1856" s="4">
        <f>[1]Source!AV1726</f>
        <v>1</v>
      </c>
      <c r="I1856" s="4">
        <f>IF([1]Source!BA1726&lt;&gt; 0, [1]Source!BA1726, 1)</f>
        <v>1</v>
      </c>
      <c r="J1856" s="33">
        <f>[1]Source!S1726</f>
        <v>189025.08</v>
      </c>
      <c r="K1856" s="33"/>
      <c r="M1856"/>
      <c r="N1856"/>
      <c r="O1856"/>
      <c r="P1856"/>
      <c r="Q1856"/>
    </row>
    <row r="1857" spans="1:33" ht="14.25" x14ac:dyDescent="0.2">
      <c r="A1857" s="31"/>
      <c r="B1857" s="31"/>
      <c r="C1857" s="31" t="s">
        <v>40</v>
      </c>
      <c r="D1857" s="32" t="s">
        <v>39</v>
      </c>
      <c r="E1857" s="4">
        <f>[1]Source!AT1726</f>
        <v>70</v>
      </c>
      <c r="F1857" s="33"/>
      <c r="G1857" s="34"/>
      <c r="H1857" s="4"/>
      <c r="I1857" s="4"/>
      <c r="J1857" s="33">
        <f>SUM(AC1854:AC1856)</f>
        <v>132317.56</v>
      </c>
      <c r="K1857" s="33"/>
      <c r="M1857"/>
      <c r="N1857"/>
      <c r="O1857"/>
      <c r="P1857"/>
      <c r="Q1857"/>
    </row>
    <row r="1858" spans="1:33" ht="14.25" x14ac:dyDescent="0.2">
      <c r="A1858" s="31"/>
      <c r="B1858" s="31"/>
      <c r="C1858" s="31" t="s">
        <v>41</v>
      </c>
      <c r="D1858" s="32" t="s">
        <v>39</v>
      </c>
      <c r="E1858" s="4">
        <f>[1]Source!AU1726</f>
        <v>10</v>
      </c>
      <c r="F1858" s="33"/>
      <c r="G1858" s="34"/>
      <c r="H1858" s="4"/>
      <c r="I1858" s="4"/>
      <c r="J1858" s="33">
        <f>SUM(AE1854:AE1857)</f>
        <v>18902.509999999998</v>
      </c>
      <c r="K1858" s="33"/>
      <c r="M1858"/>
      <c r="N1858"/>
      <c r="O1858"/>
      <c r="P1858"/>
      <c r="Q1858"/>
    </row>
    <row r="1859" spans="1:33" ht="14.25" x14ac:dyDescent="0.2">
      <c r="A1859" s="31"/>
      <c r="B1859" s="31"/>
      <c r="C1859" s="31" t="s">
        <v>42</v>
      </c>
      <c r="D1859" s="32" t="s">
        <v>43</v>
      </c>
      <c r="E1859" s="4">
        <f>[1]Source!AQ1726</f>
        <v>0.65</v>
      </c>
      <c r="F1859" s="33"/>
      <c r="G1859" s="34" t="str">
        <f>[1]Source!DI1726</f>
        <v>*4*168</v>
      </c>
      <c r="H1859" s="4">
        <f>[1]Source!AV1726</f>
        <v>1</v>
      </c>
      <c r="I1859" s="4"/>
      <c r="J1859" s="33"/>
      <c r="K1859" s="33">
        <f>[1]Source!U1726</f>
        <v>762.4344000000001</v>
      </c>
      <c r="M1859"/>
      <c r="N1859"/>
      <c r="O1859"/>
      <c r="P1859"/>
      <c r="Q1859"/>
    </row>
    <row r="1860" spans="1:33" ht="15" x14ac:dyDescent="0.25">
      <c r="A1860" s="35"/>
      <c r="B1860" s="35"/>
      <c r="C1860" s="35"/>
      <c r="D1860" s="35"/>
      <c r="E1860" s="35"/>
      <c r="F1860" s="35"/>
      <c r="G1860" s="35"/>
      <c r="H1860" s="35"/>
      <c r="I1860" s="36">
        <f>J1856+J1857+J1858</f>
        <v>340245.15</v>
      </c>
      <c r="J1860" s="36"/>
      <c r="K1860" s="37">
        <f>IF([1]Source!I1726&lt;&gt;0, ROUND(I1860/[1]Source!I1726, 2), 0)</f>
        <v>194927.04</v>
      </c>
      <c r="M1860"/>
      <c r="N1860"/>
      <c r="O1860"/>
      <c r="P1860"/>
      <c r="Q1860"/>
      <c r="AA1860" s="38">
        <f>I1860</f>
        <v>340245.15</v>
      </c>
    </row>
    <row r="1861" spans="1:33" ht="42.75" x14ac:dyDescent="0.2">
      <c r="A1861" s="31">
        <v>260</v>
      </c>
      <c r="B1861" s="31" t="str">
        <f>[1]Source!F1727</f>
        <v>5.3-1102-8-3/1</v>
      </c>
      <c r="C1861" s="31" t="str">
        <f>[1]Source!G1727</f>
        <v>Уборка слежавшегося снега вручную(S=4987.1 м2*0,1*0,7*0,5= 174,55м2)</v>
      </c>
      <c r="D1861" s="32" t="str">
        <f>[1]Source!H1727</f>
        <v>100 м2</v>
      </c>
      <c r="E1861" s="4">
        <f>[1]Source!I1727</f>
        <v>1.7455000000000001</v>
      </c>
      <c r="F1861" s="33"/>
      <c r="G1861" s="34"/>
      <c r="H1861" s="4"/>
      <c r="I1861" s="4"/>
      <c r="J1861" s="33"/>
      <c r="K1861" s="33"/>
      <c r="M1861"/>
      <c r="N1861"/>
      <c r="O1861"/>
      <c r="P1861"/>
      <c r="Q1861"/>
      <c r="AB1861">
        <f>ROUND(([1]Source!BZ1727/100)*ROUND(([1]Source!AF1727*[1]Source!AV1727)*[1]Source!I1727, 2), 2)</f>
        <v>77865.38</v>
      </c>
      <c r="AC1861">
        <f>[1]Source!X1727</f>
        <v>77865.38</v>
      </c>
      <c r="AD1861">
        <f>ROUND(([1]Source!CA1727/100)*ROUND(([1]Source!AF1727*[1]Source!AV1727)*[1]Source!I1727, 2), 2)</f>
        <v>11123.63</v>
      </c>
      <c r="AE1861">
        <f>[1]Source!Y1727</f>
        <v>11123.63</v>
      </c>
      <c r="AF1861">
        <f>ROUND((175/100)*ROUND(([1]Source!AE1727*[1]Source!AV1727)*[1]Source!I1727, 2), 2)</f>
        <v>0</v>
      </c>
      <c r="AG1861">
        <f>ROUND((108/100)*ROUND([1]Source!CS1727*[1]Source!I1727, 2), 2)</f>
        <v>0</v>
      </c>
    </row>
    <row r="1862" spans="1:33" x14ac:dyDescent="0.2">
      <c r="C1862" s="40" t="str">
        <f>"Объем: "&amp;[1]Source!I1727&amp;"=174,55/"&amp;"100"</f>
        <v>Объем: 1,7455=174,55/100</v>
      </c>
      <c r="M1862"/>
      <c r="N1862"/>
      <c r="O1862"/>
      <c r="P1862"/>
      <c r="Q1862"/>
    </row>
    <row r="1863" spans="1:33" ht="14.25" x14ac:dyDescent="0.2">
      <c r="A1863" s="31"/>
      <c r="B1863" s="31"/>
      <c r="C1863" s="31" t="s">
        <v>34</v>
      </c>
      <c r="D1863" s="32"/>
      <c r="E1863" s="4"/>
      <c r="F1863" s="33">
        <f>[1]Source!AO1727</f>
        <v>379.33</v>
      </c>
      <c r="G1863" s="34" t="str">
        <f>[1]Source!DG1727</f>
        <v>)*1*168</v>
      </c>
      <c r="H1863" s="4">
        <f>[1]Source!AV1727</f>
        <v>1</v>
      </c>
      <c r="I1863" s="4">
        <f>IF([1]Source!BA1727&lt;&gt; 0, [1]Source!BA1727, 1)</f>
        <v>1</v>
      </c>
      <c r="J1863" s="33">
        <f>[1]Source!S1727</f>
        <v>111236.25</v>
      </c>
      <c r="K1863" s="33"/>
      <c r="M1863"/>
      <c r="N1863"/>
      <c r="O1863"/>
      <c r="P1863"/>
      <c r="Q1863"/>
    </row>
    <row r="1864" spans="1:33" ht="14.25" x14ac:dyDescent="0.2">
      <c r="A1864" s="31"/>
      <c r="B1864" s="31"/>
      <c r="C1864" s="31" t="s">
        <v>40</v>
      </c>
      <c r="D1864" s="32" t="s">
        <v>39</v>
      </c>
      <c r="E1864" s="4">
        <f>[1]Source!AT1727</f>
        <v>70</v>
      </c>
      <c r="F1864" s="33"/>
      <c r="G1864" s="34"/>
      <c r="H1864" s="4"/>
      <c r="I1864" s="4"/>
      <c r="J1864" s="33">
        <f>SUM(AC1861:AC1863)</f>
        <v>77865.38</v>
      </c>
      <c r="K1864" s="33"/>
      <c r="M1864"/>
      <c r="N1864"/>
      <c r="O1864"/>
      <c r="P1864"/>
      <c r="Q1864"/>
    </row>
    <row r="1865" spans="1:33" ht="14.25" x14ac:dyDescent="0.2">
      <c r="A1865" s="31"/>
      <c r="B1865" s="31"/>
      <c r="C1865" s="31" t="s">
        <v>41</v>
      </c>
      <c r="D1865" s="32" t="s">
        <v>39</v>
      </c>
      <c r="E1865" s="4">
        <f>[1]Source!AU1727</f>
        <v>10</v>
      </c>
      <c r="F1865" s="33"/>
      <c r="G1865" s="34"/>
      <c r="H1865" s="4"/>
      <c r="I1865" s="4"/>
      <c r="J1865" s="33">
        <f>SUM(AE1861:AE1864)</f>
        <v>11123.63</v>
      </c>
      <c r="K1865" s="33"/>
      <c r="M1865"/>
      <c r="N1865"/>
      <c r="O1865"/>
      <c r="P1865"/>
      <c r="Q1865"/>
    </row>
    <row r="1866" spans="1:33" ht="14.25" x14ac:dyDescent="0.2">
      <c r="A1866" s="31"/>
      <c r="B1866" s="31"/>
      <c r="C1866" s="31" t="s">
        <v>42</v>
      </c>
      <c r="D1866" s="32" t="s">
        <v>43</v>
      </c>
      <c r="E1866" s="4">
        <f>[1]Source!AQ1727</f>
        <v>1.53</v>
      </c>
      <c r="F1866" s="33"/>
      <c r="G1866" s="34" t="str">
        <f>[1]Source!DI1727</f>
        <v>)*1*168</v>
      </c>
      <c r="H1866" s="4">
        <f>[1]Source!AV1727</f>
        <v>1</v>
      </c>
      <c r="I1866" s="4"/>
      <c r="J1866" s="33"/>
      <c r="K1866" s="33">
        <f>[1]Source!U1727</f>
        <v>448.66332000000006</v>
      </c>
      <c r="M1866"/>
      <c r="N1866"/>
      <c r="O1866"/>
      <c r="P1866"/>
      <c r="Q1866"/>
    </row>
    <row r="1867" spans="1:33" ht="15" x14ac:dyDescent="0.25">
      <c r="A1867" s="35"/>
      <c r="B1867" s="35"/>
      <c r="C1867" s="35"/>
      <c r="D1867" s="35"/>
      <c r="E1867" s="35"/>
      <c r="F1867" s="35"/>
      <c r="G1867" s="35"/>
      <c r="H1867" s="35"/>
      <c r="I1867" s="36">
        <f>J1863+J1864+J1865</f>
        <v>200225.26</v>
      </c>
      <c r="J1867" s="36"/>
      <c r="K1867" s="37">
        <f>IF([1]Source!I1727&lt;&gt;0, ROUND(I1867/[1]Source!I1727, 2), 0)</f>
        <v>114709.4</v>
      </c>
      <c r="M1867"/>
      <c r="N1867"/>
      <c r="O1867"/>
      <c r="P1867"/>
      <c r="Q1867"/>
      <c r="AA1867" s="38">
        <f>I1867</f>
        <v>200225.26</v>
      </c>
    </row>
    <row r="1868" spans="1:33" ht="42.75" x14ac:dyDescent="0.2">
      <c r="A1868" s="31">
        <v>261</v>
      </c>
      <c r="B1868" s="31" t="str">
        <f>[1]Source!F1728</f>
        <v>5.3-1102-8-1/1</v>
      </c>
      <c r="C1868" s="31" t="str">
        <f>[1]Source!G1728</f>
        <v>Уборка свежевыпавшего снега вручную толщиной слоя до 10 см ( 4987,1 м2 * 0,1*0,3*0,5 = 74,81 м2 )</v>
      </c>
      <c r="D1868" s="32" t="str">
        <f>[1]Source!H1728</f>
        <v>100 м2</v>
      </c>
      <c r="E1868" s="4">
        <f>[1]Source!I1728</f>
        <v>0.74809999999999999</v>
      </c>
      <c r="F1868" s="33"/>
      <c r="G1868" s="34"/>
      <c r="H1868" s="4"/>
      <c r="I1868" s="4"/>
      <c r="J1868" s="33"/>
      <c r="K1868" s="33"/>
      <c r="M1868"/>
      <c r="N1868"/>
      <c r="O1868"/>
      <c r="P1868"/>
      <c r="Q1868"/>
      <c r="AB1868">
        <f>ROUND(([1]Source!BZ1728/100)*ROUND(([1]Source!AF1728*[1]Source!AV1728)*[1]Source!I1728, 2), 2)</f>
        <v>56709.69</v>
      </c>
      <c r="AC1868">
        <f>[1]Source!X1728</f>
        <v>56709.69</v>
      </c>
      <c r="AD1868">
        <f>ROUND(([1]Source!CA1728/100)*ROUND(([1]Source!AF1728*[1]Source!AV1728)*[1]Source!I1728, 2), 2)</f>
        <v>8101.38</v>
      </c>
      <c r="AE1868">
        <f>[1]Source!Y1728</f>
        <v>8101.38</v>
      </c>
      <c r="AF1868">
        <f>ROUND((175/100)*ROUND(([1]Source!AE1728*[1]Source!AV1728)*[1]Source!I1728, 2), 2)</f>
        <v>0</v>
      </c>
      <c r="AG1868">
        <f>ROUND((108/100)*ROUND([1]Source!CS1728*[1]Source!I1728, 2), 2)</f>
        <v>0</v>
      </c>
    </row>
    <row r="1869" spans="1:33" x14ac:dyDescent="0.2">
      <c r="C1869" s="40" t="str">
        <f>"Объем: "&amp;[1]Source!I1728&amp;"=74,81/"&amp;"100"</f>
        <v>Объем: 0,7481=74,81/100</v>
      </c>
      <c r="M1869"/>
      <c r="N1869"/>
      <c r="O1869"/>
      <c r="P1869"/>
      <c r="Q1869"/>
    </row>
    <row r="1870" spans="1:33" ht="14.25" x14ac:dyDescent="0.2">
      <c r="A1870" s="31"/>
      <c r="B1870" s="31"/>
      <c r="C1870" s="31" t="s">
        <v>34</v>
      </c>
      <c r="D1870" s="32"/>
      <c r="E1870" s="4"/>
      <c r="F1870" s="33">
        <f>[1]Source!AO1728</f>
        <v>161.15</v>
      </c>
      <c r="G1870" s="34" t="str">
        <f>[1]Source!DG1728</f>
        <v>*4*168</v>
      </c>
      <c r="H1870" s="4">
        <f>[1]Source!AV1728</f>
        <v>1</v>
      </c>
      <c r="I1870" s="4">
        <f>IF([1]Source!BA1728&lt;&gt; 0, [1]Source!BA1728, 1)</f>
        <v>1</v>
      </c>
      <c r="J1870" s="33">
        <f>[1]Source!S1728</f>
        <v>81013.84</v>
      </c>
      <c r="K1870" s="33"/>
      <c r="M1870"/>
      <c r="N1870"/>
      <c r="O1870"/>
      <c r="P1870"/>
      <c r="Q1870"/>
    </row>
    <row r="1871" spans="1:33" ht="14.25" x14ac:dyDescent="0.2">
      <c r="A1871" s="31"/>
      <c r="B1871" s="31"/>
      <c r="C1871" s="31" t="s">
        <v>40</v>
      </c>
      <c r="D1871" s="32" t="s">
        <v>39</v>
      </c>
      <c r="E1871" s="4">
        <f>[1]Source!AT1728</f>
        <v>70</v>
      </c>
      <c r="F1871" s="33"/>
      <c r="G1871" s="34"/>
      <c r="H1871" s="4"/>
      <c r="I1871" s="4"/>
      <c r="J1871" s="33">
        <f>SUM(AC1868:AC1870)</f>
        <v>56709.69</v>
      </c>
      <c r="K1871" s="33"/>
      <c r="M1871"/>
      <c r="N1871"/>
      <c r="O1871"/>
      <c r="P1871"/>
      <c r="Q1871"/>
    </row>
    <row r="1872" spans="1:33" ht="14.25" x14ac:dyDescent="0.2">
      <c r="A1872" s="31"/>
      <c r="B1872" s="31"/>
      <c r="C1872" s="31" t="s">
        <v>41</v>
      </c>
      <c r="D1872" s="32" t="s">
        <v>39</v>
      </c>
      <c r="E1872" s="4">
        <f>[1]Source!AU1728</f>
        <v>10</v>
      </c>
      <c r="F1872" s="33"/>
      <c r="G1872" s="34"/>
      <c r="H1872" s="4"/>
      <c r="I1872" s="4"/>
      <c r="J1872" s="33">
        <f>SUM(AE1868:AE1871)</f>
        <v>8101.38</v>
      </c>
      <c r="K1872" s="33"/>
      <c r="M1872"/>
      <c r="N1872"/>
      <c r="O1872"/>
      <c r="P1872"/>
      <c r="Q1872"/>
    </row>
    <row r="1873" spans="1:33" ht="14.25" x14ac:dyDescent="0.2">
      <c r="A1873" s="31"/>
      <c r="B1873" s="31"/>
      <c r="C1873" s="31" t="s">
        <v>42</v>
      </c>
      <c r="D1873" s="32" t="s">
        <v>43</v>
      </c>
      <c r="E1873" s="4">
        <f>[1]Source!AQ1728</f>
        <v>0.65</v>
      </c>
      <c r="F1873" s="33"/>
      <c r="G1873" s="34" t="str">
        <f>[1]Source!DI1728</f>
        <v>*4*168</v>
      </c>
      <c r="H1873" s="4">
        <f>[1]Source!AV1728</f>
        <v>1</v>
      </c>
      <c r="I1873" s="4"/>
      <c r="J1873" s="33"/>
      <c r="K1873" s="33">
        <f>[1]Source!U1728</f>
        <v>326.77008000000001</v>
      </c>
      <c r="M1873"/>
      <c r="N1873"/>
      <c r="O1873"/>
      <c r="P1873"/>
      <c r="Q1873"/>
    </row>
    <row r="1874" spans="1:33" ht="15" x14ac:dyDescent="0.25">
      <c r="A1874" s="35"/>
      <c r="B1874" s="35"/>
      <c r="C1874" s="35"/>
      <c r="D1874" s="35"/>
      <c r="E1874" s="35"/>
      <c r="F1874" s="35"/>
      <c r="G1874" s="35"/>
      <c r="H1874" s="35"/>
      <c r="I1874" s="36">
        <f>J1870+J1871+J1872</f>
        <v>145824.91</v>
      </c>
      <c r="J1874" s="36"/>
      <c r="K1874" s="37">
        <f>IF([1]Source!I1728&lt;&gt;0, ROUND(I1874/[1]Source!I1728, 2), 0)</f>
        <v>194927.03</v>
      </c>
      <c r="M1874"/>
      <c r="N1874"/>
      <c r="O1874"/>
      <c r="P1874"/>
      <c r="Q1874"/>
      <c r="AA1874" s="38">
        <f>I1874</f>
        <v>145824.91</v>
      </c>
    </row>
    <row r="1875" spans="1:33" ht="57" x14ac:dyDescent="0.2">
      <c r="A1875" s="31">
        <v>262</v>
      </c>
      <c r="B1875" s="31" t="str">
        <f>[1]Source!F1729</f>
        <v>5.3-1102-8-2/1</v>
      </c>
      <c r="C1875" s="31" t="str">
        <f>[1]Source!G1729</f>
        <v>Уборка свежевыпавшего снега вручную, добавлять на каждые следующие 10 см увеличения толщины слоя</v>
      </c>
      <c r="D1875" s="32" t="str">
        <f>[1]Source!H1729</f>
        <v>100 м2</v>
      </c>
      <c r="E1875" s="4">
        <f>[1]Source!I1729</f>
        <v>0.74809999999999999</v>
      </c>
      <c r="F1875" s="33"/>
      <c r="G1875" s="34"/>
      <c r="H1875" s="4"/>
      <c r="I1875" s="4"/>
      <c r="J1875" s="33"/>
      <c r="K1875" s="33"/>
      <c r="M1875"/>
      <c r="N1875"/>
      <c r="O1875"/>
      <c r="P1875"/>
      <c r="Q1875"/>
      <c r="AB1875">
        <f>ROUND(([1]Source!BZ1729/100)*ROUND(([1]Source!AF1729*[1]Source!AV1729)*[1]Source!I1729, 2), 2)</f>
        <v>41007.629999999997</v>
      </c>
      <c r="AC1875">
        <f>[1]Source!X1729</f>
        <v>41007.629999999997</v>
      </c>
      <c r="AD1875">
        <f>ROUND(([1]Source!CA1729/100)*ROUND(([1]Source!AF1729*[1]Source!AV1729)*[1]Source!I1729, 2), 2)</f>
        <v>5858.23</v>
      </c>
      <c r="AE1875">
        <f>[1]Source!Y1729</f>
        <v>5858.23</v>
      </c>
      <c r="AF1875">
        <f>ROUND((175/100)*ROUND(([1]Source!AE1729*[1]Source!AV1729)*[1]Source!I1729, 2), 2)</f>
        <v>0</v>
      </c>
      <c r="AG1875">
        <f>ROUND((108/100)*ROUND([1]Source!CS1729*[1]Source!I1729, 2), 2)</f>
        <v>0</v>
      </c>
    </row>
    <row r="1876" spans="1:33" x14ac:dyDescent="0.2">
      <c r="C1876" s="40" t="str">
        <f>"Объем: "&amp;[1]Source!I1729&amp;"=74,81/"&amp;"100"</f>
        <v>Объем: 0,7481=74,81/100</v>
      </c>
      <c r="M1876"/>
      <c r="N1876"/>
      <c r="O1876"/>
      <c r="P1876"/>
      <c r="Q1876"/>
    </row>
    <row r="1877" spans="1:33" ht="14.25" x14ac:dyDescent="0.2">
      <c r="A1877" s="31"/>
      <c r="B1877" s="31"/>
      <c r="C1877" s="31" t="s">
        <v>34</v>
      </c>
      <c r="D1877" s="32"/>
      <c r="E1877" s="4"/>
      <c r="F1877" s="33">
        <f>[1]Source!AO1729</f>
        <v>116.53</v>
      </c>
      <c r="G1877" s="34" t="str">
        <f>[1]Source!DG1729</f>
        <v>*4*168</v>
      </c>
      <c r="H1877" s="4">
        <f>[1]Source!AV1729</f>
        <v>1</v>
      </c>
      <c r="I1877" s="4">
        <f>IF([1]Source!BA1729&lt;&gt; 0, [1]Source!BA1729, 1)</f>
        <v>1</v>
      </c>
      <c r="J1877" s="33">
        <f>[1]Source!S1729</f>
        <v>58582.33</v>
      </c>
      <c r="K1877" s="33"/>
      <c r="M1877"/>
      <c r="N1877"/>
      <c r="O1877"/>
      <c r="P1877"/>
      <c r="Q1877"/>
    </row>
    <row r="1878" spans="1:33" ht="14.25" x14ac:dyDescent="0.2">
      <c r="A1878" s="31"/>
      <c r="B1878" s="31"/>
      <c r="C1878" s="31" t="s">
        <v>40</v>
      </c>
      <c r="D1878" s="32" t="s">
        <v>39</v>
      </c>
      <c r="E1878" s="4">
        <f>[1]Source!AT1729</f>
        <v>70</v>
      </c>
      <c r="F1878" s="33"/>
      <c r="G1878" s="34"/>
      <c r="H1878" s="4"/>
      <c r="I1878" s="4"/>
      <c r="J1878" s="33">
        <f>SUM(AC1875:AC1877)</f>
        <v>41007.629999999997</v>
      </c>
      <c r="K1878" s="33"/>
      <c r="M1878"/>
      <c r="N1878"/>
      <c r="O1878"/>
      <c r="P1878"/>
      <c r="Q1878"/>
    </row>
    <row r="1879" spans="1:33" ht="14.25" x14ac:dyDescent="0.2">
      <c r="A1879" s="31"/>
      <c r="B1879" s="31"/>
      <c r="C1879" s="31" t="s">
        <v>41</v>
      </c>
      <c r="D1879" s="32" t="s">
        <v>39</v>
      </c>
      <c r="E1879" s="4">
        <f>[1]Source!AU1729</f>
        <v>10</v>
      </c>
      <c r="F1879" s="33"/>
      <c r="G1879" s="34"/>
      <c r="H1879" s="4"/>
      <c r="I1879" s="4"/>
      <c r="J1879" s="33">
        <f>SUM(AE1875:AE1878)</f>
        <v>5858.23</v>
      </c>
      <c r="K1879" s="33"/>
      <c r="M1879"/>
      <c r="N1879"/>
      <c r="O1879"/>
      <c r="P1879"/>
      <c r="Q1879"/>
    </row>
    <row r="1880" spans="1:33" ht="14.25" x14ac:dyDescent="0.2">
      <c r="A1880" s="31"/>
      <c r="B1880" s="31"/>
      <c r="C1880" s="31" t="s">
        <v>42</v>
      </c>
      <c r="D1880" s="32" t="s">
        <v>43</v>
      </c>
      <c r="E1880" s="4">
        <f>[1]Source!AQ1729</f>
        <v>0.47</v>
      </c>
      <c r="F1880" s="33"/>
      <c r="G1880" s="34" t="str">
        <f>[1]Source!DI1729</f>
        <v>*4*168</v>
      </c>
      <c r="H1880" s="4">
        <f>[1]Source!AV1729</f>
        <v>1</v>
      </c>
      <c r="I1880" s="4"/>
      <c r="J1880" s="33"/>
      <c r="K1880" s="33">
        <f>[1]Source!U1729</f>
        <v>236.27990399999999</v>
      </c>
      <c r="M1880"/>
      <c r="N1880"/>
      <c r="O1880"/>
      <c r="P1880"/>
      <c r="Q1880"/>
    </row>
    <row r="1881" spans="1:33" ht="15" x14ac:dyDescent="0.25">
      <c r="A1881" s="35"/>
      <c r="B1881" s="35"/>
      <c r="C1881" s="35"/>
      <c r="D1881" s="35"/>
      <c r="E1881" s="35"/>
      <c r="F1881" s="35"/>
      <c r="G1881" s="35"/>
      <c r="H1881" s="35"/>
      <c r="I1881" s="36">
        <f>J1877+J1878+J1879</f>
        <v>105448.18999999999</v>
      </c>
      <c r="J1881" s="36"/>
      <c r="K1881" s="37">
        <f>IF([1]Source!I1729&lt;&gt;0, ROUND(I1881/[1]Source!I1729, 2), 0)</f>
        <v>140954.67000000001</v>
      </c>
      <c r="M1881"/>
      <c r="N1881"/>
      <c r="O1881"/>
      <c r="P1881"/>
      <c r="Q1881"/>
      <c r="AA1881" s="38">
        <f>I1881</f>
        <v>105448.18999999999</v>
      </c>
    </row>
    <row r="1882" spans="1:33" ht="57" x14ac:dyDescent="0.2">
      <c r="A1882" s="31">
        <v>263</v>
      </c>
      <c r="B1882" s="31" t="str">
        <f>[1]Source!F1730</f>
        <v>5.3-1102-24-1/1</v>
      </c>
      <c r="C1882" s="31" t="str">
        <f>[1]Source!G1730</f>
        <v>Уборка свежевыпавшего снега ручной самоходной машиной - ширина захвата 120 см ( S=4987.1м2*0,2=997,42 м2)</v>
      </c>
      <c r="D1882" s="32" t="str">
        <f>[1]Source!H1730</f>
        <v>100 м2</v>
      </c>
      <c r="E1882" s="4">
        <f>[1]Source!I1730</f>
        <v>9.9741999999999997</v>
      </c>
      <c r="F1882" s="33"/>
      <c r="G1882" s="34"/>
      <c r="H1882" s="4"/>
      <c r="I1882" s="4"/>
      <c r="J1882" s="33"/>
      <c r="K1882" s="33"/>
      <c r="M1882"/>
      <c r="N1882"/>
      <c r="O1882"/>
      <c r="P1882"/>
      <c r="Q1882"/>
      <c r="AB1882">
        <f>ROUND(([1]Source!BZ1730/100)*ROUND(([1]Source!AF1730*[1]Source!AV1730)*[1]Source!I1730, 2), 2)</f>
        <v>455392.29</v>
      </c>
      <c r="AC1882">
        <f>[1]Source!X1730</f>
        <v>455392.29</v>
      </c>
      <c r="AD1882">
        <f>ROUND(([1]Source!CA1730/100)*ROUND(([1]Source!AF1730*[1]Source!AV1730)*[1]Source!I1730, 2), 2)</f>
        <v>65056.04</v>
      </c>
      <c r="AE1882">
        <f>[1]Source!Y1730</f>
        <v>65056.04</v>
      </c>
      <c r="AF1882">
        <f>ROUND((175/100)*ROUND(([1]Source!AE1730*[1]Source!AV1730)*[1]Source!I1730, 2), 2)</f>
        <v>1055.67</v>
      </c>
      <c r="AG1882">
        <f>ROUND((108/100)*ROUND([1]Source!CS1730*[1]Source!I1730, 2), 2)</f>
        <v>651.5</v>
      </c>
    </row>
    <row r="1883" spans="1:33" x14ac:dyDescent="0.2">
      <c r="C1883" s="40" t="str">
        <f>"Объем: "&amp;[1]Source!I1730&amp;"=997,42/"&amp;"100"</f>
        <v>Объем: 9,9742=997,42/100</v>
      </c>
      <c r="M1883"/>
      <c r="N1883"/>
      <c r="O1883"/>
      <c r="P1883"/>
      <c r="Q1883"/>
    </row>
    <row r="1884" spans="1:33" ht="14.25" x14ac:dyDescent="0.2">
      <c r="A1884" s="31"/>
      <c r="B1884" s="31"/>
      <c r="C1884" s="31" t="s">
        <v>34</v>
      </c>
      <c r="D1884" s="32"/>
      <c r="E1884" s="4"/>
      <c r="F1884" s="33">
        <f>[1]Source!AO1730</f>
        <v>97.06</v>
      </c>
      <c r="G1884" s="34" t="str">
        <f>[1]Source!DG1730</f>
        <v>*4*168</v>
      </c>
      <c r="H1884" s="4">
        <f>[1]Source!AV1730</f>
        <v>1</v>
      </c>
      <c r="I1884" s="4">
        <f>IF([1]Source!BA1730&lt;&gt; 0, [1]Source!BA1730, 1)</f>
        <v>1</v>
      </c>
      <c r="J1884" s="33">
        <f>[1]Source!S1730</f>
        <v>650560.41</v>
      </c>
      <c r="K1884" s="33"/>
      <c r="M1884"/>
      <c r="N1884"/>
      <c r="O1884"/>
      <c r="P1884"/>
      <c r="Q1884"/>
    </row>
    <row r="1885" spans="1:33" ht="14.25" x14ac:dyDescent="0.2">
      <c r="A1885" s="31"/>
      <c r="B1885" s="31"/>
      <c r="C1885" s="31" t="s">
        <v>33</v>
      </c>
      <c r="D1885" s="32"/>
      <c r="E1885" s="4"/>
      <c r="F1885" s="33">
        <f>[1]Source!AM1730</f>
        <v>33.97</v>
      </c>
      <c r="G1885" s="34" t="str">
        <f>[1]Source!DE1730</f>
        <v>*4*168</v>
      </c>
      <c r="H1885" s="4">
        <f>[1]Source!AV1730</f>
        <v>1</v>
      </c>
      <c r="I1885" s="4">
        <f>IF([1]Source!BB1730&lt;&gt; 0, [1]Source!BB1730, 1)</f>
        <v>1</v>
      </c>
      <c r="J1885" s="33">
        <f>[1]Source!Q1730</f>
        <v>227689.44</v>
      </c>
      <c r="K1885" s="33"/>
      <c r="M1885"/>
      <c r="N1885"/>
      <c r="O1885"/>
      <c r="P1885"/>
      <c r="Q1885"/>
    </row>
    <row r="1886" spans="1:33" ht="14.25" x14ac:dyDescent="0.2">
      <c r="A1886" s="31"/>
      <c r="B1886" s="31"/>
      <c r="C1886" s="31" t="s">
        <v>37</v>
      </c>
      <c r="D1886" s="32"/>
      <c r="E1886" s="4"/>
      <c r="F1886" s="33">
        <f>[1]Source!AN1730</f>
        <v>0.09</v>
      </c>
      <c r="G1886" s="34" t="str">
        <f>[1]Source!DF1730</f>
        <v>*4*168</v>
      </c>
      <c r="H1886" s="4">
        <f>[1]Source!AV1730</f>
        <v>1</v>
      </c>
      <c r="I1886" s="4">
        <f>IF([1]Source!BS1730&lt;&gt; 0, [1]Source!BS1730, 1)</f>
        <v>1</v>
      </c>
      <c r="J1886" s="41">
        <f>[1]Source!R1730</f>
        <v>603.24</v>
      </c>
      <c r="K1886" s="33"/>
      <c r="M1886"/>
      <c r="N1886"/>
      <c r="O1886"/>
      <c r="P1886"/>
      <c r="Q1886"/>
    </row>
    <row r="1887" spans="1:33" ht="14.25" x14ac:dyDescent="0.2">
      <c r="A1887" s="31"/>
      <c r="B1887" s="31"/>
      <c r="C1887" s="31" t="s">
        <v>40</v>
      </c>
      <c r="D1887" s="32" t="s">
        <v>39</v>
      </c>
      <c r="E1887" s="4">
        <f>[1]Source!AT1730</f>
        <v>70</v>
      </c>
      <c r="F1887" s="33"/>
      <c r="G1887" s="34"/>
      <c r="H1887" s="4"/>
      <c r="I1887" s="4"/>
      <c r="J1887" s="33">
        <f>SUM(AC1882:AC1886)</f>
        <v>455392.29</v>
      </c>
      <c r="K1887" s="33"/>
      <c r="M1887"/>
      <c r="N1887"/>
      <c r="O1887"/>
      <c r="P1887"/>
      <c r="Q1887"/>
    </row>
    <row r="1888" spans="1:33" ht="14.25" x14ac:dyDescent="0.2">
      <c r="A1888" s="31"/>
      <c r="B1888" s="31"/>
      <c r="C1888" s="31" t="s">
        <v>41</v>
      </c>
      <c r="D1888" s="32" t="s">
        <v>39</v>
      </c>
      <c r="E1888" s="4">
        <f>[1]Source!AU1730</f>
        <v>10</v>
      </c>
      <c r="F1888" s="33"/>
      <c r="G1888" s="34"/>
      <c r="H1888" s="4"/>
      <c r="I1888" s="4"/>
      <c r="J1888" s="33">
        <f>SUM(AE1882:AE1887)</f>
        <v>65056.04</v>
      </c>
      <c r="K1888" s="33"/>
      <c r="M1888"/>
      <c r="N1888"/>
      <c r="O1888"/>
      <c r="P1888"/>
      <c r="Q1888"/>
    </row>
    <row r="1889" spans="1:33" ht="14.25" x14ac:dyDescent="0.2">
      <c r="A1889" s="31"/>
      <c r="B1889" s="31"/>
      <c r="C1889" s="31" t="s">
        <v>38</v>
      </c>
      <c r="D1889" s="32" t="s">
        <v>39</v>
      </c>
      <c r="E1889" s="4">
        <f>108</f>
        <v>108</v>
      </c>
      <c r="F1889" s="33"/>
      <c r="G1889" s="34"/>
      <c r="H1889" s="4"/>
      <c r="I1889" s="4"/>
      <c r="J1889" s="33">
        <f>SUM(AG1882:AG1888)</f>
        <v>651.5</v>
      </c>
      <c r="K1889" s="33"/>
      <c r="M1889"/>
      <c r="N1889"/>
      <c r="O1889"/>
      <c r="P1889"/>
      <c r="Q1889"/>
    </row>
    <row r="1890" spans="1:33" ht="14.25" x14ac:dyDescent="0.2">
      <c r="A1890" s="31"/>
      <c r="B1890" s="31"/>
      <c r="C1890" s="31" t="s">
        <v>42</v>
      </c>
      <c r="D1890" s="32" t="s">
        <v>43</v>
      </c>
      <c r="E1890" s="4">
        <f>[1]Source!AQ1730</f>
        <v>0.35</v>
      </c>
      <c r="F1890" s="33"/>
      <c r="G1890" s="34" t="str">
        <f>[1]Source!DI1730</f>
        <v>*4*168</v>
      </c>
      <c r="H1890" s="4">
        <f>[1]Source!AV1730</f>
        <v>1</v>
      </c>
      <c r="I1890" s="4"/>
      <c r="J1890" s="33"/>
      <c r="K1890" s="33">
        <f>[1]Source!U1730</f>
        <v>2345.9318399999997</v>
      </c>
      <c r="M1890"/>
      <c r="N1890"/>
      <c r="O1890"/>
      <c r="P1890"/>
      <c r="Q1890"/>
    </row>
    <row r="1891" spans="1:33" ht="15" x14ac:dyDescent="0.25">
      <c r="A1891" s="35"/>
      <c r="B1891" s="35"/>
      <c r="C1891" s="35"/>
      <c r="D1891" s="35"/>
      <c r="E1891" s="35"/>
      <c r="F1891" s="35"/>
      <c r="G1891" s="35"/>
      <c r="H1891" s="35"/>
      <c r="I1891" s="36">
        <f>J1884+J1885+J1887+J1888+J1889</f>
        <v>1399349.6800000002</v>
      </c>
      <c r="J1891" s="36"/>
      <c r="K1891" s="37">
        <f>IF([1]Source!I1730&lt;&gt;0, ROUND(I1891/[1]Source!I1730, 2), 0)</f>
        <v>140296.93</v>
      </c>
      <c r="M1891"/>
      <c r="N1891"/>
      <c r="O1891"/>
      <c r="P1891"/>
      <c r="Q1891"/>
      <c r="AA1891" s="38">
        <f>I1891</f>
        <v>1399349.6800000002</v>
      </c>
    </row>
    <row r="1892" spans="1:33" ht="42.75" x14ac:dyDescent="0.2">
      <c r="A1892" s="31">
        <v>264</v>
      </c>
      <c r="B1892" s="31" t="str">
        <f>[1]Source!F1731</f>
        <v>5.3-1102-9-1/1</v>
      </c>
      <c r="C1892" s="31" t="str">
        <f>[1]Source!G1731</f>
        <v>Колка льда на обледеневших покрытиях вручную ( S=4987,1м2*0,1*0,3*0,5= 74,81 м2)</v>
      </c>
      <c r="D1892" s="32" t="str">
        <f>[1]Source!H1731</f>
        <v>100 м2</v>
      </c>
      <c r="E1892" s="4">
        <f>[1]Source!I1731</f>
        <v>0.74809999999999999</v>
      </c>
      <c r="F1892" s="33"/>
      <c r="G1892" s="34"/>
      <c r="H1892" s="4"/>
      <c r="I1892" s="4"/>
      <c r="J1892" s="33"/>
      <c r="K1892" s="33"/>
      <c r="M1892"/>
      <c r="N1892"/>
      <c r="O1892"/>
      <c r="P1892"/>
      <c r="Q1892"/>
      <c r="AB1892">
        <f>ROUND(([1]Source!BZ1731/100)*ROUND(([1]Source!AF1731*[1]Source!AV1731)*[1]Source!I1731, 2), 2)</f>
        <v>105133.75</v>
      </c>
      <c r="AC1892">
        <f>[1]Source!X1731</f>
        <v>105133.75</v>
      </c>
      <c r="AD1892">
        <f>ROUND(([1]Source!CA1731/100)*ROUND(([1]Source!AF1731*[1]Source!AV1731)*[1]Source!I1731, 2), 2)</f>
        <v>15019.11</v>
      </c>
      <c r="AE1892">
        <f>[1]Source!Y1731</f>
        <v>15019.11</v>
      </c>
      <c r="AF1892">
        <f>ROUND((175/100)*ROUND(([1]Source!AE1731*[1]Source!AV1731)*[1]Source!I1731, 2), 2)</f>
        <v>0</v>
      </c>
      <c r="AG1892">
        <f>ROUND((108/100)*ROUND([1]Source!CS1731*[1]Source!I1731, 2), 2)</f>
        <v>0</v>
      </c>
    </row>
    <row r="1893" spans="1:33" x14ac:dyDescent="0.2">
      <c r="C1893" s="40" t="str">
        <f>"Объем: "&amp;[1]Source!I1731&amp;"=74,81/"&amp;"100"</f>
        <v>Объем: 0,7481=74,81/100</v>
      </c>
      <c r="M1893"/>
      <c r="N1893"/>
      <c r="O1893"/>
      <c r="P1893"/>
      <c r="Q1893"/>
    </row>
    <row r="1894" spans="1:33" ht="14.25" x14ac:dyDescent="0.2">
      <c r="A1894" s="31"/>
      <c r="B1894" s="31"/>
      <c r="C1894" s="31" t="s">
        <v>34</v>
      </c>
      <c r="D1894" s="32"/>
      <c r="E1894" s="4"/>
      <c r="F1894" s="33">
        <f>[1]Source!AO1731</f>
        <v>597.51</v>
      </c>
      <c r="G1894" s="34" t="str">
        <f>[1]Source!DG1731</f>
        <v>)*2*168</v>
      </c>
      <c r="H1894" s="4">
        <f>[1]Source!AV1731</f>
        <v>1</v>
      </c>
      <c r="I1894" s="4">
        <f>IF([1]Source!BA1731&lt;&gt; 0, [1]Source!BA1731, 1)</f>
        <v>1</v>
      </c>
      <c r="J1894" s="33">
        <f>[1]Source!S1731</f>
        <v>150191.07</v>
      </c>
      <c r="K1894" s="33"/>
      <c r="M1894"/>
      <c r="N1894"/>
      <c r="O1894"/>
      <c r="P1894"/>
      <c r="Q1894"/>
    </row>
    <row r="1895" spans="1:33" ht="14.25" x14ac:dyDescent="0.2">
      <c r="A1895" s="31"/>
      <c r="B1895" s="31"/>
      <c r="C1895" s="31" t="s">
        <v>40</v>
      </c>
      <c r="D1895" s="32" t="s">
        <v>39</v>
      </c>
      <c r="E1895" s="4">
        <f>[1]Source!AT1731</f>
        <v>70</v>
      </c>
      <c r="F1895" s="33"/>
      <c r="G1895" s="34"/>
      <c r="H1895" s="4"/>
      <c r="I1895" s="4"/>
      <c r="J1895" s="33">
        <f>SUM(AC1892:AC1894)</f>
        <v>105133.75</v>
      </c>
      <c r="K1895" s="33"/>
      <c r="M1895"/>
      <c r="N1895"/>
      <c r="O1895"/>
      <c r="P1895"/>
      <c r="Q1895"/>
    </row>
    <row r="1896" spans="1:33" ht="14.25" x14ac:dyDescent="0.2">
      <c r="A1896" s="31"/>
      <c r="B1896" s="31"/>
      <c r="C1896" s="31" t="s">
        <v>41</v>
      </c>
      <c r="D1896" s="32" t="s">
        <v>39</v>
      </c>
      <c r="E1896" s="4">
        <f>[1]Source!AU1731</f>
        <v>10</v>
      </c>
      <c r="F1896" s="33"/>
      <c r="G1896" s="34"/>
      <c r="H1896" s="4"/>
      <c r="I1896" s="4"/>
      <c r="J1896" s="33">
        <f>SUM(AE1892:AE1895)</f>
        <v>15019.11</v>
      </c>
      <c r="K1896" s="33"/>
      <c r="M1896"/>
      <c r="N1896"/>
      <c r="O1896"/>
      <c r="P1896"/>
      <c r="Q1896"/>
    </row>
    <row r="1897" spans="1:33" ht="14.25" x14ac:dyDescent="0.2">
      <c r="A1897" s="31"/>
      <c r="B1897" s="31"/>
      <c r="C1897" s="31" t="s">
        <v>42</v>
      </c>
      <c r="D1897" s="32" t="s">
        <v>43</v>
      </c>
      <c r="E1897" s="4">
        <f>[1]Source!AQ1731</f>
        <v>2.41</v>
      </c>
      <c r="F1897" s="33"/>
      <c r="G1897" s="34" t="str">
        <f>[1]Source!DI1731</f>
        <v>)*2*168</v>
      </c>
      <c r="H1897" s="4">
        <f>[1]Source!AV1731</f>
        <v>1</v>
      </c>
      <c r="I1897" s="4"/>
      <c r="J1897" s="33"/>
      <c r="K1897" s="33">
        <f>[1]Source!U1731</f>
        <v>605.78145599999993</v>
      </c>
      <c r="M1897"/>
      <c r="N1897"/>
      <c r="O1897"/>
      <c r="P1897"/>
      <c r="Q1897"/>
    </row>
    <row r="1898" spans="1:33" ht="15" x14ac:dyDescent="0.25">
      <c r="A1898" s="35"/>
      <c r="B1898" s="35"/>
      <c r="C1898" s="35"/>
      <c r="D1898" s="35"/>
      <c r="E1898" s="35"/>
      <c r="F1898" s="35"/>
      <c r="G1898" s="35"/>
      <c r="H1898" s="35"/>
      <c r="I1898" s="36">
        <f>J1894+J1895+J1896</f>
        <v>270343.93</v>
      </c>
      <c r="J1898" s="36"/>
      <c r="K1898" s="37">
        <f>IF([1]Source!I1731&lt;&gt;0, ROUND(I1898/[1]Source!I1731, 2), 0)</f>
        <v>361374.05</v>
      </c>
      <c r="M1898"/>
      <c r="N1898"/>
      <c r="O1898"/>
      <c r="P1898"/>
      <c r="Q1898"/>
      <c r="AA1898" s="38">
        <f>I1898</f>
        <v>270343.93</v>
      </c>
    </row>
    <row r="1899" spans="1:33" ht="57" x14ac:dyDescent="0.2">
      <c r="A1899" s="31">
        <v>265</v>
      </c>
      <c r="B1899" s="31" t="str">
        <f>[1]Source!F1732</f>
        <v>калькуляция</v>
      </c>
      <c r="C1899" s="31" t="str">
        <f>[1]Source!G1732</f>
        <v>Посыпка  гранитной крошкой дорожных покрытий средствами малой механизации( расход крошки 100 г/м2)</v>
      </c>
      <c r="D1899" s="32" t="str">
        <f>[1]Source!H1732</f>
        <v>м2</v>
      </c>
      <c r="E1899" s="4">
        <f>[1]Source!I1732</f>
        <v>3490.97</v>
      </c>
      <c r="F1899" s="33"/>
      <c r="G1899" s="34"/>
      <c r="H1899" s="4"/>
      <c r="I1899" s="4"/>
      <c r="J1899" s="33"/>
      <c r="K1899" s="33"/>
      <c r="M1899"/>
      <c r="N1899"/>
      <c r="O1899"/>
      <c r="P1899"/>
      <c r="Q1899"/>
      <c r="AB1899">
        <f>ROUND(([1]Source!BZ1732/100)*ROUND(([1]Source!AF1732*[1]Source!AV1732)*[1]Source!I1732, 2), 2)</f>
        <v>0</v>
      </c>
      <c r="AC1899">
        <f>[1]Source!X1732</f>
        <v>0</v>
      </c>
      <c r="AD1899">
        <f>ROUND(([1]Source!CA1732/100)*ROUND(([1]Source!AF1732*[1]Source!AV1732)*[1]Source!I1732, 2), 2)</f>
        <v>0</v>
      </c>
      <c r="AE1899">
        <f>[1]Source!Y1732</f>
        <v>0</v>
      </c>
      <c r="AF1899">
        <f>ROUND((175/100)*ROUND(([1]Source!AE1732*[1]Source!AV1732)*[1]Source!I1732, 2), 2)</f>
        <v>0</v>
      </c>
      <c r="AG1899">
        <f>ROUND((108/100)*ROUND([1]Source!CS1732*[1]Source!I1732, 2), 2)</f>
        <v>0</v>
      </c>
    </row>
    <row r="1900" spans="1:33" ht="14.25" x14ac:dyDescent="0.2">
      <c r="A1900" s="31"/>
      <c r="B1900" s="31"/>
      <c r="C1900" s="31" t="s">
        <v>33</v>
      </c>
      <c r="D1900" s="32"/>
      <c r="E1900" s="4"/>
      <c r="F1900" s="33">
        <f>[1]Source!AM1732</f>
        <v>0.33</v>
      </c>
      <c r="G1900" s="34" t="str">
        <f>[1]Source!DE1732</f>
        <v>*4*168</v>
      </c>
      <c r="H1900" s="4">
        <f>[1]Source!AV1732</f>
        <v>1</v>
      </c>
      <c r="I1900" s="4">
        <f>IF([1]Source!BB1732&lt;&gt; 0, [1]Source!BB1732, 1)</f>
        <v>1</v>
      </c>
      <c r="J1900" s="33">
        <f>[1]Source!Q1732</f>
        <v>774157.51</v>
      </c>
      <c r="K1900" s="33"/>
      <c r="M1900"/>
      <c r="N1900"/>
      <c r="O1900"/>
      <c r="P1900"/>
      <c r="Q1900"/>
    </row>
    <row r="1901" spans="1:33" ht="14.25" x14ac:dyDescent="0.2">
      <c r="A1901" s="31" t="s">
        <v>92</v>
      </c>
      <c r="B1901" s="31" t="str">
        <f>[1]Source!F1733</f>
        <v>цена поставщика</v>
      </c>
      <c r="C1901" s="31" t="str">
        <f>[1]Source!G1733</f>
        <v>Крошка гранитная</v>
      </c>
      <c r="D1901" s="32" t="str">
        <f>[1]Source!H1733</f>
        <v>кг</v>
      </c>
      <c r="E1901" s="4">
        <f>[1]Source!I1733</f>
        <v>234593.18400000001</v>
      </c>
      <c r="F1901" s="33">
        <f>[1]Source!AK1733</f>
        <v>4.43</v>
      </c>
      <c r="G1901" s="39" t="s">
        <v>68</v>
      </c>
      <c r="H1901" s="4">
        <f>[1]Source!AW1733</f>
        <v>1</v>
      </c>
      <c r="I1901" s="4">
        <f>IF([1]Source!BC1733&lt;&gt; 0, [1]Source!BC1733, 1)</f>
        <v>1</v>
      </c>
      <c r="J1901" s="33">
        <f>[1]Source!O1733</f>
        <v>1039247.81</v>
      </c>
      <c r="K1901" s="33"/>
      <c r="M1901"/>
      <c r="N1901"/>
      <c r="O1901"/>
      <c r="P1901"/>
      <c r="Q1901"/>
      <c r="AB1901">
        <f>ROUND(([1]Source!BZ1733/100)*ROUND(([1]Source!AF1733*[1]Source!AV1733)*[1]Source!I1733, 2), 2)</f>
        <v>0</v>
      </c>
      <c r="AC1901">
        <f>[1]Source!X1733</f>
        <v>0</v>
      </c>
      <c r="AD1901">
        <f>ROUND(([1]Source!CA1733/100)*ROUND(([1]Source!AF1733*[1]Source!AV1733)*[1]Source!I1733, 2), 2)</f>
        <v>0</v>
      </c>
      <c r="AE1901">
        <f>[1]Source!Y1733</f>
        <v>0</v>
      </c>
      <c r="AF1901">
        <f>ROUND((175/100)*ROUND(([1]Source!AE1733*[1]Source!AV1733)*[1]Source!I1733, 2), 2)</f>
        <v>0</v>
      </c>
      <c r="AG1901">
        <f>ROUND((108/100)*ROUND([1]Source!CS1733*[1]Source!I1733, 2), 2)</f>
        <v>0</v>
      </c>
    </row>
    <row r="1902" spans="1:33" ht="15" x14ac:dyDescent="0.25">
      <c r="A1902" s="35"/>
      <c r="B1902" s="35"/>
      <c r="C1902" s="35"/>
      <c r="D1902" s="35"/>
      <c r="E1902" s="35"/>
      <c r="F1902" s="35"/>
      <c r="G1902" s="35"/>
      <c r="H1902" s="35"/>
      <c r="I1902" s="36">
        <f>J1900+SUM(J1901:J1901)</f>
        <v>1813405.32</v>
      </c>
      <c r="J1902" s="36"/>
      <c r="K1902" s="37">
        <f>IF([1]Source!I1732&lt;&gt;0, ROUND(I1902/[1]Source!I1732, 2), 0)</f>
        <v>519.46</v>
      </c>
      <c r="M1902"/>
      <c r="N1902"/>
      <c r="O1902"/>
      <c r="P1902"/>
      <c r="Q1902"/>
      <c r="AA1902" s="38">
        <f>I1902</f>
        <v>1813405.32</v>
      </c>
    </row>
    <row r="1903" spans="1:33" ht="28.5" x14ac:dyDescent="0.2">
      <c r="A1903" s="31">
        <v>266</v>
      </c>
      <c r="B1903" s="31" t="str">
        <f>[1]Source!F1734</f>
        <v>калькуляция</v>
      </c>
      <c r="C1903" s="31" t="str">
        <f>[1]Source!G1734</f>
        <v>Посыпка гранитной крошкой  дорожных покрытий вручную( 100г/м2 )</v>
      </c>
      <c r="D1903" s="32" t="str">
        <f>[1]Source!H1734</f>
        <v>м2</v>
      </c>
      <c r="E1903" s="4">
        <f>[1]Source!I1734</f>
        <v>1496.13</v>
      </c>
      <c r="F1903" s="33"/>
      <c r="G1903" s="34"/>
      <c r="H1903" s="4"/>
      <c r="I1903" s="4"/>
      <c r="J1903" s="33"/>
      <c r="K1903" s="33"/>
      <c r="M1903"/>
      <c r="N1903"/>
      <c r="O1903"/>
      <c r="P1903"/>
      <c r="Q1903"/>
      <c r="AB1903">
        <f>ROUND(([1]Source!BZ1734/100)*ROUND(([1]Source!AF1734*[1]Source!AV1734)*[1]Source!I1734, 2), 2)</f>
        <v>0</v>
      </c>
      <c r="AC1903">
        <f>[1]Source!X1734</f>
        <v>0</v>
      </c>
      <c r="AD1903">
        <f>ROUND(([1]Source!CA1734/100)*ROUND(([1]Source!AF1734*[1]Source!AV1734)*[1]Source!I1734, 2), 2)</f>
        <v>0</v>
      </c>
      <c r="AE1903">
        <f>[1]Source!Y1734</f>
        <v>0</v>
      </c>
      <c r="AF1903">
        <f>ROUND((175/100)*ROUND(([1]Source!AE1734*[1]Source!AV1734)*[1]Source!I1734, 2), 2)</f>
        <v>0</v>
      </c>
      <c r="AG1903">
        <f>ROUND((108/100)*ROUND([1]Source!CS1734*[1]Source!I1734, 2), 2)</f>
        <v>0</v>
      </c>
    </row>
    <row r="1904" spans="1:33" ht="14.25" x14ac:dyDescent="0.2">
      <c r="A1904" s="31"/>
      <c r="B1904" s="31"/>
      <c r="C1904" s="31" t="s">
        <v>34</v>
      </c>
      <c r="D1904" s="32"/>
      <c r="E1904" s="4"/>
      <c r="F1904" s="33">
        <f>[1]Source!AO1734</f>
        <v>2.08</v>
      </c>
      <c r="G1904" s="34" t="str">
        <f>[1]Source!DG1734</f>
        <v>*4*168</v>
      </c>
      <c r="H1904" s="4">
        <f>[1]Source!AV1734</f>
        <v>1</v>
      </c>
      <c r="I1904" s="4">
        <f>IF([1]Source!BA1734&lt;&gt; 0, [1]Source!BA1734, 1)</f>
        <v>1</v>
      </c>
      <c r="J1904" s="33">
        <f>[1]Source!S1734</f>
        <v>2091230.67</v>
      </c>
      <c r="K1904" s="33"/>
      <c r="M1904"/>
      <c r="N1904"/>
      <c r="O1904"/>
      <c r="P1904"/>
      <c r="Q1904"/>
    </row>
    <row r="1905" spans="1:33" ht="14.25" x14ac:dyDescent="0.2">
      <c r="A1905" s="31" t="s">
        <v>93</v>
      </c>
      <c r="B1905" s="31" t="str">
        <f>[1]Source!F1735</f>
        <v>цена поставщика</v>
      </c>
      <c r="C1905" s="31" t="str">
        <f>[1]Source!G1735</f>
        <v>Крошка гранитная</v>
      </c>
      <c r="D1905" s="32" t="str">
        <f>[1]Source!H1735</f>
        <v>кг</v>
      </c>
      <c r="E1905" s="4">
        <f>[1]Source!I1735</f>
        <v>100539.93600000002</v>
      </c>
      <c r="F1905" s="33">
        <f>[1]Source!AK1735</f>
        <v>4.43</v>
      </c>
      <c r="G1905" s="39" t="s">
        <v>68</v>
      </c>
      <c r="H1905" s="4">
        <f>[1]Source!AW1735</f>
        <v>1</v>
      </c>
      <c r="I1905" s="4">
        <f>IF([1]Source!BC1735&lt;&gt; 0, [1]Source!BC1735, 1)</f>
        <v>1</v>
      </c>
      <c r="J1905" s="33">
        <f>[1]Source!O1735</f>
        <v>445391.92</v>
      </c>
      <c r="K1905" s="33"/>
      <c r="M1905"/>
      <c r="N1905"/>
      <c r="O1905"/>
      <c r="P1905"/>
      <c r="Q1905"/>
      <c r="AB1905">
        <f>ROUND(([1]Source!BZ1735/100)*ROUND(([1]Source!AF1735*[1]Source!AV1735)*[1]Source!I1735, 2), 2)</f>
        <v>0</v>
      </c>
      <c r="AC1905">
        <f>[1]Source!X1735</f>
        <v>0</v>
      </c>
      <c r="AD1905">
        <f>ROUND(([1]Source!CA1735/100)*ROUND(([1]Source!AF1735*[1]Source!AV1735)*[1]Source!I1735, 2), 2)</f>
        <v>0</v>
      </c>
      <c r="AE1905">
        <f>[1]Source!Y1735</f>
        <v>0</v>
      </c>
      <c r="AF1905">
        <f>ROUND((175/100)*ROUND(([1]Source!AE1735*[1]Source!AV1735)*[1]Source!I1735, 2), 2)</f>
        <v>0</v>
      </c>
      <c r="AG1905">
        <f>ROUND((108/100)*ROUND([1]Source!CS1735*[1]Source!I1735, 2), 2)</f>
        <v>0</v>
      </c>
    </row>
    <row r="1906" spans="1:33" ht="15" x14ac:dyDescent="0.25">
      <c r="A1906" s="35"/>
      <c r="B1906" s="35"/>
      <c r="C1906" s="35"/>
      <c r="D1906" s="35"/>
      <c r="E1906" s="35"/>
      <c r="F1906" s="35"/>
      <c r="G1906" s="35"/>
      <c r="H1906" s="35"/>
      <c r="I1906" s="36">
        <f>J1904+SUM(J1905:J1905)</f>
        <v>2536622.59</v>
      </c>
      <c r="J1906" s="36"/>
      <c r="K1906" s="37">
        <f>IF([1]Source!I1734&lt;&gt;0, ROUND(I1906/[1]Source!I1734, 2), 0)</f>
        <v>1695.46</v>
      </c>
      <c r="M1906"/>
      <c r="N1906"/>
      <c r="O1906"/>
      <c r="P1906"/>
      <c r="Q1906"/>
      <c r="AA1906" s="38">
        <f>I1906</f>
        <v>2536622.59</v>
      </c>
    </row>
    <row r="1907" spans="1:33" ht="28.5" x14ac:dyDescent="0.2">
      <c r="A1907" s="31">
        <v>267</v>
      </c>
      <c r="B1907" s="31" t="str">
        <f>[1]Source!F1736</f>
        <v>5.4-1201-1-1/1</v>
      </c>
      <c r="C1907" s="31" t="str">
        <f>[1]Source!G1736</f>
        <v>Сбор случайного мусора по территории</v>
      </c>
      <c r="D1907" s="32" t="str">
        <f>[1]Source!H1736</f>
        <v>100 м2</v>
      </c>
      <c r="E1907" s="4">
        <f>[1]Source!I1736</f>
        <v>49.871000000000002</v>
      </c>
      <c r="F1907" s="33"/>
      <c r="G1907" s="34"/>
      <c r="H1907" s="4"/>
      <c r="I1907" s="4"/>
      <c r="J1907" s="33"/>
      <c r="K1907" s="33"/>
      <c r="M1907"/>
      <c r="N1907"/>
      <c r="O1907"/>
      <c r="P1907"/>
      <c r="Q1907"/>
      <c r="AB1907">
        <f>ROUND(([1]Source!BZ1736/100)*ROUND(([1]Source!AF1736*[1]Source!AV1736)*[1]Source!I1736, 2), 2)</f>
        <v>574865.01</v>
      </c>
      <c r="AC1907">
        <f>[1]Source!X1736</f>
        <v>574865.01</v>
      </c>
      <c r="AD1907">
        <f>ROUND(([1]Source!CA1736/100)*ROUND(([1]Source!AF1736*[1]Source!AV1736)*[1]Source!I1736, 2), 2)</f>
        <v>82123.570000000007</v>
      </c>
      <c r="AE1907">
        <f>[1]Source!Y1736</f>
        <v>82123.570000000007</v>
      </c>
      <c r="AF1907">
        <f>ROUND((175/100)*ROUND(([1]Source!AE1736*[1]Source!AV1736)*[1]Source!I1736, 2), 2)</f>
        <v>0</v>
      </c>
      <c r="AG1907">
        <f>ROUND((108/100)*ROUND([1]Source!CS1736*[1]Source!I1736, 2), 2)</f>
        <v>0</v>
      </c>
    </row>
    <row r="1908" spans="1:33" x14ac:dyDescent="0.2">
      <c r="C1908" s="40" t="str">
        <f>"Объем: "&amp;[1]Source!I1736&amp;"=4987,1/"&amp;"100"</f>
        <v>Объем: 49,871=4987,1/100</v>
      </c>
      <c r="M1908"/>
      <c r="N1908"/>
      <c r="O1908"/>
      <c r="P1908"/>
      <c r="Q1908"/>
    </row>
    <row r="1909" spans="1:33" ht="14.25" x14ac:dyDescent="0.2">
      <c r="A1909" s="31"/>
      <c r="B1909" s="31"/>
      <c r="C1909" s="31" t="s">
        <v>34</v>
      </c>
      <c r="D1909" s="32"/>
      <c r="E1909" s="4"/>
      <c r="F1909" s="33">
        <f>[1]Source!AO1736</f>
        <v>12.4</v>
      </c>
      <c r="G1909" s="34" t="str">
        <f>[1]Source!DG1736</f>
        <v>)*4*332</v>
      </c>
      <c r="H1909" s="4">
        <f>[1]Source!AV1736</f>
        <v>1</v>
      </c>
      <c r="I1909" s="4">
        <f>IF([1]Source!BA1736&lt;&gt; 0, [1]Source!BA1736, 1)</f>
        <v>1</v>
      </c>
      <c r="J1909" s="33">
        <f>[1]Source!S1736</f>
        <v>821235.73</v>
      </c>
      <c r="K1909" s="33"/>
      <c r="M1909"/>
      <c r="N1909"/>
      <c r="O1909"/>
      <c r="P1909"/>
      <c r="Q1909"/>
    </row>
    <row r="1910" spans="1:33" ht="14.25" x14ac:dyDescent="0.2">
      <c r="A1910" s="31"/>
      <c r="B1910" s="31"/>
      <c r="C1910" s="31" t="s">
        <v>47</v>
      </c>
      <c r="D1910" s="32"/>
      <c r="E1910" s="4"/>
      <c r="F1910" s="33">
        <f>[1]Source!AL1736</f>
        <v>0.69</v>
      </c>
      <c r="G1910" s="34" t="str">
        <f>[1]Source!DD1736</f>
        <v>)*4*332</v>
      </c>
      <c r="H1910" s="4">
        <f>[1]Source!AW1736</f>
        <v>1</v>
      </c>
      <c r="I1910" s="4">
        <f>IF([1]Source!BC1736&lt;&gt; 0, [1]Source!BC1736, 1)</f>
        <v>1</v>
      </c>
      <c r="J1910" s="33">
        <f>[1]Source!P1736</f>
        <v>45697.79</v>
      </c>
      <c r="K1910" s="33"/>
      <c r="M1910"/>
      <c r="N1910"/>
      <c r="O1910"/>
      <c r="P1910"/>
      <c r="Q1910"/>
    </row>
    <row r="1911" spans="1:33" ht="14.25" x14ac:dyDescent="0.2">
      <c r="A1911" s="31"/>
      <c r="B1911" s="31"/>
      <c r="C1911" s="31" t="s">
        <v>40</v>
      </c>
      <c r="D1911" s="32" t="s">
        <v>39</v>
      </c>
      <c r="E1911" s="4">
        <f>[1]Source!AT1736</f>
        <v>70</v>
      </c>
      <c r="F1911" s="33"/>
      <c r="G1911" s="34"/>
      <c r="H1911" s="4"/>
      <c r="I1911" s="4"/>
      <c r="J1911" s="33">
        <f>SUM(AC1907:AC1910)</f>
        <v>574865.01</v>
      </c>
      <c r="K1911" s="33"/>
      <c r="M1911"/>
      <c r="N1911"/>
      <c r="O1911"/>
      <c r="P1911"/>
      <c r="Q1911"/>
    </row>
    <row r="1912" spans="1:33" ht="14.25" x14ac:dyDescent="0.2">
      <c r="A1912" s="31"/>
      <c r="B1912" s="31"/>
      <c r="C1912" s="31" t="s">
        <v>41</v>
      </c>
      <c r="D1912" s="32" t="s">
        <v>39</v>
      </c>
      <c r="E1912" s="4">
        <f>[1]Source!AU1736</f>
        <v>10</v>
      </c>
      <c r="F1912" s="33"/>
      <c r="G1912" s="34"/>
      <c r="H1912" s="4"/>
      <c r="I1912" s="4"/>
      <c r="J1912" s="33">
        <f>SUM(AE1907:AE1911)</f>
        <v>82123.570000000007</v>
      </c>
      <c r="K1912" s="33"/>
      <c r="M1912"/>
      <c r="N1912"/>
      <c r="O1912"/>
      <c r="P1912"/>
      <c r="Q1912"/>
    </row>
    <row r="1913" spans="1:33" ht="14.25" x14ac:dyDescent="0.2">
      <c r="A1913" s="31"/>
      <c r="B1913" s="31"/>
      <c r="C1913" s="31" t="s">
        <v>42</v>
      </c>
      <c r="D1913" s="32" t="s">
        <v>43</v>
      </c>
      <c r="E1913" s="4">
        <f>[1]Source!AQ1736</f>
        <v>0.05</v>
      </c>
      <c r="F1913" s="33"/>
      <c r="G1913" s="34" t="str">
        <f>[1]Source!DI1736</f>
        <v>)*4*332</v>
      </c>
      <c r="H1913" s="4">
        <f>[1]Source!AV1736</f>
        <v>1</v>
      </c>
      <c r="I1913" s="4"/>
      <c r="J1913" s="33"/>
      <c r="K1913" s="33">
        <f>[1]Source!U1736</f>
        <v>3311.4344000000006</v>
      </c>
      <c r="M1913"/>
      <c r="N1913"/>
      <c r="O1913"/>
      <c r="P1913"/>
      <c r="Q1913"/>
    </row>
    <row r="1914" spans="1:33" ht="15" x14ac:dyDescent="0.25">
      <c r="A1914" s="35"/>
      <c r="B1914" s="35"/>
      <c r="C1914" s="35"/>
      <c r="D1914" s="35"/>
      <c r="E1914" s="35"/>
      <c r="F1914" s="35"/>
      <c r="G1914" s="35"/>
      <c r="H1914" s="35"/>
      <c r="I1914" s="36">
        <f>J1909+J1910+J1911+J1912</f>
        <v>1523922.1</v>
      </c>
      <c r="J1914" s="36"/>
      <c r="K1914" s="37">
        <f>IF([1]Source!I1736&lt;&gt;0, ROUND(I1914/[1]Source!I1736, 2), 0)</f>
        <v>30557.279999999999</v>
      </c>
      <c r="M1914"/>
      <c r="N1914"/>
      <c r="O1914"/>
      <c r="P1914"/>
      <c r="Q1914"/>
      <c r="AA1914" s="38">
        <f>I1914</f>
        <v>1523922.1</v>
      </c>
    </row>
    <row r="1915" spans="1:33" x14ac:dyDescent="0.2">
      <c r="M1915"/>
      <c r="N1915"/>
      <c r="O1915"/>
      <c r="P1915"/>
      <c r="Q1915"/>
    </row>
    <row r="1916" spans="1:33" ht="15" x14ac:dyDescent="0.25">
      <c r="A1916" s="42" t="str">
        <f>CONCATENATE("Итого по подразделу: ",IF([1]Source!G1738&lt;&gt;"Новый подраздел", [1]Source!G1738, ""))</f>
        <v>Итого по подразделу: Содержание покрытий " Патриаршего подворья ".</v>
      </c>
      <c r="B1916" s="42"/>
      <c r="C1916" s="42"/>
      <c r="D1916" s="42"/>
      <c r="E1916" s="42"/>
      <c r="F1916" s="42"/>
      <c r="G1916" s="42"/>
      <c r="H1916" s="42"/>
      <c r="I1916" s="43">
        <f>SUM(AA1837:AA1915)</f>
        <v>14184493.470000001</v>
      </c>
      <c r="J1916" s="44"/>
      <c r="K1916" s="47"/>
      <c r="L1916" s="38">
        <f>I1916</f>
        <v>14184493.470000001</v>
      </c>
      <c r="M1916" s="2">
        <f>ROUND(I1916*$I$4874,2)</f>
        <v>10244138.32</v>
      </c>
      <c r="N1916" s="2">
        <f>ROUND(M1916*1.2/105*100,2)</f>
        <v>11707586.65</v>
      </c>
      <c r="O1916" s="2">
        <f>ROUND(N1916*0.05,2)</f>
        <v>585379.32999999996</v>
      </c>
      <c r="P1916" s="2">
        <f>N1916+O1916-0.01</f>
        <v>12292965.970000001</v>
      </c>
      <c r="Q1916" s="3">
        <v>57</v>
      </c>
      <c r="S1916" s="2">
        <v>2260158.92</v>
      </c>
    </row>
    <row r="1917" spans="1:33" x14ac:dyDescent="0.2">
      <c r="M1917"/>
      <c r="N1917"/>
      <c r="O1917"/>
      <c r="P1917"/>
      <c r="Q1917"/>
    </row>
    <row r="1918" spans="1:33" x14ac:dyDescent="0.2">
      <c r="M1918"/>
      <c r="N1918"/>
      <c r="O1918"/>
      <c r="P1918"/>
      <c r="Q1918"/>
    </row>
    <row r="1919" spans="1:33" ht="16.5" x14ac:dyDescent="0.25">
      <c r="A1919" s="29" t="str">
        <f>CONCATENATE("Подраздел: ",IF([1]Source!G1768&lt;&gt;"Новый подраздел", [1]Source!G1768, ""))</f>
        <v>Подраздел: Уход за скамейками.</v>
      </c>
      <c r="B1919" s="29"/>
      <c r="C1919" s="29"/>
      <c r="D1919" s="29"/>
      <c r="E1919" s="29"/>
      <c r="F1919" s="29"/>
      <c r="G1919" s="29"/>
      <c r="H1919" s="29"/>
      <c r="I1919" s="29"/>
      <c r="J1919" s="29"/>
      <c r="K1919" s="29"/>
      <c r="M1919"/>
      <c r="N1919"/>
      <c r="O1919"/>
      <c r="P1919"/>
      <c r="Q1919"/>
    </row>
    <row r="1920" spans="1:33" ht="14.25" x14ac:dyDescent="0.2">
      <c r="A1920" s="31">
        <v>268</v>
      </c>
      <c r="B1920" s="31" t="str">
        <f>[1]Source!F1772</f>
        <v>калькуляция</v>
      </c>
      <c r="C1920" s="31" t="str">
        <f>[1]Source!G1772</f>
        <v>Протирка скамеек</v>
      </c>
      <c r="D1920" s="32" t="str">
        <f>[1]Source!H1772</f>
        <v>м2</v>
      </c>
      <c r="E1920" s="4">
        <f>[1]Source!I1772</f>
        <v>48</v>
      </c>
      <c r="F1920" s="33"/>
      <c r="G1920" s="34"/>
      <c r="H1920" s="4"/>
      <c r="I1920" s="4"/>
      <c r="J1920" s="33"/>
      <c r="K1920" s="33"/>
      <c r="M1920"/>
      <c r="N1920"/>
      <c r="O1920"/>
      <c r="P1920"/>
      <c r="Q1920"/>
      <c r="AB1920">
        <f>ROUND(([1]Source!BZ1772/100)*ROUND(([1]Source!AF1772*[1]Source!AV1772)*[1]Source!I1772, 2), 2)</f>
        <v>0</v>
      </c>
      <c r="AC1920">
        <f>[1]Source!X1772</f>
        <v>0</v>
      </c>
      <c r="AD1920">
        <f>ROUND(([1]Source!CA1772/100)*ROUND(([1]Source!AF1772*[1]Source!AV1772)*[1]Source!I1772, 2), 2)</f>
        <v>0</v>
      </c>
      <c r="AE1920">
        <f>[1]Source!Y1772</f>
        <v>0</v>
      </c>
      <c r="AF1920">
        <f>ROUND((175/100)*ROUND(([1]Source!AE1772*[1]Source!AV1772)*[1]Source!I1772, 2), 2)</f>
        <v>0</v>
      </c>
      <c r="AG1920">
        <f>ROUND((108/100)*ROUND([1]Source!CS1772*[1]Source!I1772, 2), 2)</f>
        <v>0</v>
      </c>
    </row>
    <row r="1921" spans="1:33" ht="14.25" x14ac:dyDescent="0.2">
      <c r="A1921" s="31"/>
      <c r="B1921" s="31"/>
      <c r="C1921" s="31" t="s">
        <v>34</v>
      </c>
      <c r="D1921" s="32"/>
      <c r="E1921" s="4"/>
      <c r="F1921" s="33">
        <f>[1]Source!AO1772</f>
        <v>8.0500000000000007</v>
      </c>
      <c r="G1921" s="34" t="str">
        <f>[1]Source!DG1772</f>
        <v>)*2*164</v>
      </c>
      <c r="H1921" s="4">
        <f>[1]Source!AV1772</f>
        <v>1</v>
      </c>
      <c r="I1921" s="4">
        <f>IF([1]Source!BA1772&lt;&gt; 0, [1]Source!BA1772, 1)</f>
        <v>1</v>
      </c>
      <c r="J1921" s="33">
        <f>[1]Source!S1772</f>
        <v>126739.2</v>
      </c>
      <c r="K1921" s="33"/>
      <c r="M1921"/>
      <c r="N1921"/>
      <c r="O1921"/>
      <c r="P1921"/>
      <c r="Q1921"/>
    </row>
    <row r="1922" spans="1:33" ht="28.5" x14ac:dyDescent="0.2">
      <c r="A1922" s="31" t="s">
        <v>94</v>
      </c>
      <c r="B1922" s="31" t="str">
        <f>[1]Source!F1773</f>
        <v>цена пставщика</v>
      </c>
      <c r="C1922" s="31" t="str">
        <f>[1]Source!G1773</f>
        <v>Средство моющее незамерзающее для протирки Биомол АД-У</v>
      </c>
      <c r="D1922" s="32" t="str">
        <f>[1]Source!H1773</f>
        <v>л</v>
      </c>
      <c r="E1922" s="4">
        <f>[1]Source!I1773</f>
        <v>3.1488000000000005</v>
      </c>
      <c r="F1922" s="33">
        <f>[1]Source!AK1773</f>
        <v>236.78</v>
      </c>
      <c r="G1922" s="39" t="s">
        <v>95</v>
      </c>
      <c r="H1922" s="4">
        <f>[1]Source!AW1773</f>
        <v>1</v>
      </c>
      <c r="I1922" s="4">
        <f>IF([1]Source!BC1773&lt;&gt; 0, [1]Source!BC1773, 1)</f>
        <v>1</v>
      </c>
      <c r="J1922" s="33">
        <f>[1]Source!O1773</f>
        <v>745.57</v>
      </c>
      <c r="K1922" s="33"/>
      <c r="M1922"/>
      <c r="N1922"/>
      <c r="O1922"/>
      <c r="P1922"/>
      <c r="Q1922"/>
      <c r="AB1922">
        <f>ROUND(([1]Source!BZ1773/100)*ROUND(([1]Source!AF1773*[1]Source!AV1773)*[1]Source!I1773, 2), 2)</f>
        <v>0</v>
      </c>
      <c r="AC1922">
        <f>[1]Source!X1773</f>
        <v>0</v>
      </c>
      <c r="AD1922">
        <f>ROUND(([1]Source!CA1773/100)*ROUND(([1]Source!AF1773*[1]Source!AV1773)*[1]Source!I1773, 2), 2)</f>
        <v>0</v>
      </c>
      <c r="AE1922">
        <f>[1]Source!Y1773</f>
        <v>0</v>
      </c>
      <c r="AF1922">
        <f>ROUND((175/100)*ROUND(([1]Source!AE1773*[1]Source!AV1773)*[1]Source!I1773, 2), 2)</f>
        <v>0</v>
      </c>
      <c r="AG1922">
        <f>ROUND((108/100)*ROUND([1]Source!CS1773*[1]Source!I1773, 2), 2)</f>
        <v>0</v>
      </c>
    </row>
    <row r="1923" spans="1:33" ht="15" x14ac:dyDescent="0.25">
      <c r="A1923" s="35"/>
      <c r="B1923" s="35"/>
      <c r="C1923" s="35"/>
      <c r="D1923" s="35"/>
      <c r="E1923" s="35"/>
      <c r="F1923" s="35"/>
      <c r="G1923" s="35"/>
      <c r="H1923" s="35"/>
      <c r="I1923" s="36">
        <f>J1921+SUM(J1922:J1922)</f>
        <v>127484.77</v>
      </c>
      <c r="J1923" s="36"/>
      <c r="K1923" s="37">
        <f>IF([1]Source!I1772&lt;&gt;0, ROUND(I1923/[1]Source!I1772, 2), 0)</f>
        <v>2655.93</v>
      </c>
      <c r="M1923"/>
      <c r="N1923"/>
      <c r="O1923"/>
      <c r="P1923"/>
      <c r="Q1923"/>
      <c r="AA1923" s="38">
        <f>I1923</f>
        <v>127484.77</v>
      </c>
    </row>
    <row r="1924" spans="1:33" ht="42.75" x14ac:dyDescent="0.2">
      <c r="A1924" s="31">
        <v>269</v>
      </c>
      <c r="B1924" s="31" t="str">
        <f>[1]Source!F1774</f>
        <v>5.3-1102-4-1/1</v>
      </c>
      <c r="C1924" s="31" t="str">
        <f>[1]Source!G1774</f>
        <v>Очистка скамеек, садовых диванов, урн, цветочниц, боллардов от снега вручную</v>
      </c>
      <c r="D1924" s="32" t="str">
        <f>[1]Source!H1774</f>
        <v>100 м2</v>
      </c>
      <c r="E1924" s="4">
        <f>[1]Source!I1774</f>
        <v>0.48</v>
      </c>
      <c r="F1924" s="33"/>
      <c r="G1924" s="34"/>
      <c r="H1924" s="4"/>
      <c r="I1924" s="4"/>
      <c r="J1924" s="33"/>
      <c r="K1924" s="33"/>
      <c r="M1924"/>
      <c r="N1924"/>
      <c r="O1924"/>
      <c r="P1924"/>
      <c r="Q1924"/>
      <c r="AB1924">
        <f>ROUND(([1]Source!BZ1774/100)*ROUND(([1]Source!AF1774*[1]Source!AV1774)*[1]Source!I1774, 2), 2)</f>
        <v>39326.199999999997</v>
      </c>
      <c r="AC1924">
        <f>[1]Source!X1774</f>
        <v>39326.199999999997</v>
      </c>
      <c r="AD1924">
        <f>ROUND(([1]Source!CA1774/100)*ROUND(([1]Source!AF1774*[1]Source!AV1774)*[1]Source!I1774, 2), 2)</f>
        <v>5618.03</v>
      </c>
      <c r="AE1924">
        <f>[1]Source!Y1774</f>
        <v>5618.03</v>
      </c>
      <c r="AF1924">
        <f>ROUND((175/100)*ROUND(([1]Source!AE1774*[1]Source!AV1774)*[1]Source!I1774, 2), 2)</f>
        <v>0</v>
      </c>
      <c r="AG1924">
        <f>ROUND((108/100)*ROUND([1]Source!CS1774*[1]Source!I1774, 2), 2)</f>
        <v>0</v>
      </c>
    </row>
    <row r="1925" spans="1:33" x14ac:dyDescent="0.2">
      <c r="C1925" s="40" t="str">
        <f>"Объем: "&amp;[1]Source!I1774&amp;"=48/"&amp;"100"</f>
        <v>Объем: 0,48=48/100</v>
      </c>
      <c r="M1925"/>
      <c r="N1925"/>
      <c r="O1925"/>
      <c r="P1925"/>
      <c r="Q1925"/>
    </row>
    <row r="1926" spans="1:33" ht="14.25" x14ac:dyDescent="0.2">
      <c r="A1926" s="31"/>
      <c r="B1926" s="31"/>
      <c r="C1926" s="31" t="s">
        <v>34</v>
      </c>
      <c r="D1926" s="32"/>
      <c r="E1926" s="4"/>
      <c r="F1926" s="33">
        <f>[1]Source!AO1774</f>
        <v>696.68</v>
      </c>
      <c r="G1926" s="34" t="str">
        <f>[1]Source!DG1774</f>
        <v>)*1*168</v>
      </c>
      <c r="H1926" s="4">
        <f>[1]Source!AV1774</f>
        <v>1</v>
      </c>
      <c r="I1926" s="4">
        <f>IF([1]Source!BA1774&lt;&gt; 0, [1]Source!BA1774, 1)</f>
        <v>1</v>
      </c>
      <c r="J1926" s="33">
        <f>[1]Source!S1774</f>
        <v>56180.28</v>
      </c>
      <c r="K1926" s="33"/>
      <c r="M1926"/>
      <c r="N1926"/>
      <c r="O1926"/>
      <c r="P1926"/>
      <c r="Q1926"/>
    </row>
    <row r="1927" spans="1:33" ht="14.25" x14ac:dyDescent="0.2">
      <c r="A1927" s="31"/>
      <c r="B1927" s="31"/>
      <c r="C1927" s="31" t="s">
        <v>40</v>
      </c>
      <c r="D1927" s="32" t="s">
        <v>39</v>
      </c>
      <c r="E1927" s="4">
        <f>[1]Source!AT1774</f>
        <v>70</v>
      </c>
      <c r="F1927" s="33"/>
      <c r="G1927" s="34"/>
      <c r="H1927" s="4"/>
      <c r="I1927" s="4"/>
      <c r="J1927" s="33">
        <f>SUM(AC1924:AC1926)</f>
        <v>39326.199999999997</v>
      </c>
      <c r="K1927" s="33"/>
      <c r="M1927"/>
      <c r="N1927"/>
      <c r="O1927"/>
      <c r="P1927"/>
      <c r="Q1927"/>
    </row>
    <row r="1928" spans="1:33" ht="14.25" x14ac:dyDescent="0.2">
      <c r="A1928" s="31"/>
      <c r="B1928" s="31"/>
      <c r="C1928" s="31" t="s">
        <v>41</v>
      </c>
      <c r="D1928" s="32" t="s">
        <v>39</v>
      </c>
      <c r="E1928" s="4">
        <f>[1]Source!AU1774</f>
        <v>10</v>
      </c>
      <c r="F1928" s="33"/>
      <c r="G1928" s="34"/>
      <c r="H1928" s="4"/>
      <c r="I1928" s="4"/>
      <c r="J1928" s="33">
        <f>SUM(AE1924:AE1927)</f>
        <v>5618.03</v>
      </c>
      <c r="K1928" s="33"/>
      <c r="M1928"/>
      <c r="N1928"/>
      <c r="O1928"/>
      <c r="P1928"/>
      <c r="Q1928"/>
    </row>
    <row r="1929" spans="1:33" ht="14.25" x14ac:dyDescent="0.2">
      <c r="A1929" s="31"/>
      <c r="B1929" s="31"/>
      <c r="C1929" s="31" t="s">
        <v>42</v>
      </c>
      <c r="D1929" s="32" t="s">
        <v>43</v>
      </c>
      <c r="E1929" s="4">
        <f>[1]Source!AQ1774</f>
        <v>2.81</v>
      </c>
      <c r="F1929" s="33"/>
      <c r="G1929" s="34" t="str">
        <f>[1]Source!DI1774</f>
        <v>)*1*168</v>
      </c>
      <c r="H1929" s="4">
        <f>[1]Source!AV1774</f>
        <v>1</v>
      </c>
      <c r="I1929" s="4"/>
      <c r="J1929" s="33"/>
      <c r="K1929" s="33">
        <f>[1]Source!U1774</f>
        <v>226.5984</v>
      </c>
      <c r="M1929"/>
      <c r="N1929"/>
      <c r="O1929"/>
      <c r="P1929"/>
      <c r="Q1929"/>
    </row>
    <row r="1930" spans="1:33" ht="15" x14ac:dyDescent="0.25">
      <c r="A1930" s="35"/>
      <c r="B1930" s="35"/>
      <c r="C1930" s="35"/>
      <c r="D1930" s="35"/>
      <c r="E1930" s="35"/>
      <c r="F1930" s="35"/>
      <c r="G1930" s="35"/>
      <c r="H1930" s="35"/>
      <c r="I1930" s="36">
        <f>J1926+J1927+J1928</f>
        <v>101124.51</v>
      </c>
      <c r="J1930" s="36"/>
      <c r="K1930" s="37">
        <f>IF([1]Source!I1774&lt;&gt;0, ROUND(I1930/[1]Source!I1774, 2), 0)</f>
        <v>210676.06</v>
      </c>
      <c r="M1930"/>
      <c r="N1930"/>
      <c r="O1930"/>
      <c r="P1930"/>
      <c r="Q1930"/>
      <c r="AA1930" s="38">
        <f>I1930</f>
        <v>101124.51</v>
      </c>
    </row>
    <row r="1931" spans="1:33" x14ac:dyDescent="0.2">
      <c r="M1931"/>
      <c r="N1931"/>
      <c r="O1931"/>
      <c r="P1931"/>
      <c r="Q1931"/>
    </row>
    <row r="1932" spans="1:33" ht="15" x14ac:dyDescent="0.25">
      <c r="A1932" s="42" t="str">
        <f>CONCATENATE("Итого по подразделу: ",IF([1]Source!G1776&lt;&gt;"Новый подраздел", [1]Source!G1776, ""))</f>
        <v>Итого по подразделу: Уход за скамейками.</v>
      </c>
      <c r="B1932" s="42"/>
      <c r="C1932" s="42"/>
      <c r="D1932" s="42"/>
      <c r="E1932" s="42"/>
      <c r="F1932" s="42"/>
      <c r="G1932" s="42"/>
      <c r="H1932" s="42"/>
      <c r="I1932" s="43">
        <f>SUM(AA1919:AA1931)</f>
        <v>228609.28</v>
      </c>
      <c r="J1932" s="44"/>
      <c r="K1932" s="47"/>
      <c r="L1932" s="38">
        <f>I1932</f>
        <v>228609.28</v>
      </c>
      <c r="M1932" s="2">
        <f>ROUND(I1932*$I$4874,2)</f>
        <v>165103.19</v>
      </c>
      <c r="N1932" s="2">
        <f>ROUND(M1932*1.2/105*100,2)</f>
        <v>188689.36</v>
      </c>
      <c r="O1932" s="2">
        <f>ROUND(N1932*0.05,2)</f>
        <v>9434.4699999999993</v>
      </c>
      <c r="P1932" s="2">
        <f>N1932+O1932</f>
        <v>198123.83</v>
      </c>
      <c r="Q1932" s="3">
        <v>58</v>
      </c>
      <c r="S1932" s="2">
        <v>36230.089999999997</v>
      </c>
    </row>
    <row r="1933" spans="1:33" x14ac:dyDescent="0.2">
      <c r="M1933"/>
      <c r="N1933"/>
      <c r="O1933"/>
      <c r="P1933"/>
      <c r="Q1933"/>
    </row>
    <row r="1934" spans="1:33" x14ac:dyDescent="0.2">
      <c r="M1934"/>
      <c r="N1934"/>
      <c r="O1934"/>
      <c r="P1934"/>
      <c r="Q1934"/>
    </row>
    <row r="1935" spans="1:33" ht="16.5" x14ac:dyDescent="0.25">
      <c r="A1935" s="29" t="str">
        <f>CONCATENATE("Подраздел: ",IF([1]Source!G1806&lt;&gt;"Новый подраздел", [1]Source!G1806, ""))</f>
        <v>Подраздел: Содержание лестниц</v>
      </c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M1935"/>
      <c r="N1935"/>
      <c r="O1935"/>
      <c r="P1935"/>
      <c r="Q1935"/>
    </row>
    <row r="1936" spans="1:33" ht="14.25" x14ac:dyDescent="0.2">
      <c r="A1936" s="31">
        <v>270</v>
      </c>
      <c r="B1936" s="31" t="str">
        <f>[1]Source!F1810</f>
        <v>калькуляция</v>
      </c>
      <c r="C1936" s="31" t="str">
        <f>[1]Source!G1810</f>
        <v>Подметание лестницы</v>
      </c>
      <c r="D1936" s="32" t="str">
        <f>[1]Source!H1810</f>
        <v>м2</v>
      </c>
      <c r="E1936" s="4">
        <f>[1]Source!I1810</f>
        <v>151.4</v>
      </c>
      <c r="F1936" s="33"/>
      <c r="G1936" s="34"/>
      <c r="H1936" s="4"/>
      <c r="I1936" s="4"/>
      <c r="J1936" s="33"/>
      <c r="K1936" s="33"/>
      <c r="M1936"/>
      <c r="N1936"/>
      <c r="O1936"/>
      <c r="P1936"/>
      <c r="Q1936"/>
      <c r="AB1936">
        <f>ROUND(([1]Source!BZ1810/100)*ROUND(([1]Source!AF1810*[1]Source!AV1810)*[1]Source!I1810, 2), 2)</f>
        <v>0</v>
      </c>
      <c r="AC1936">
        <f>[1]Source!X1810</f>
        <v>0</v>
      </c>
      <c r="AD1936">
        <f>ROUND(([1]Source!CA1810/100)*ROUND(([1]Source!AF1810*[1]Source!AV1810)*[1]Source!I1810, 2), 2)</f>
        <v>0</v>
      </c>
      <c r="AE1936">
        <f>[1]Source!Y1810</f>
        <v>0</v>
      </c>
      <c r="AF1936">
        <f>ROUND((175/100)*ROUND(([1]Source!AE1810*[1]Source!AV1810)*[1]Source!I1810, 2), 2)</f>
        <v>0</v>
      </c>
      <c r="AG1936">
        <f>ROUND((108/100)*ROUND([1]Source!CS1810*[1]Source!I1810, 2), 2)</f>
        <v>0</v>
      </c>
    </row>
    <row r="1937" spans="1:33" ht="14.25" x14ac:dyDescent="0.2">
      <c r="A1937" s="31"/>
      <c r="B1937" s="31"/>
      <c r="C1937" s="31" t="s">
        <v>34</v>
      </c>
      <c r="D1937" s="32"/>
      <c r="E1937" s="4"/>
      <c r="F1937" s="33">
        <f>[1]Source!AO1810</f>
        <v>1.94</v>
      </c>
      <c r="G1937" s="34" t="str">
        <f>[1]Source!DG1810</f>
        <v>)*4*164</v>
      </c>
      <c r="H1937" s="4">
        <f>[1]Source!AV1810</f>
        <v>1</v>
      </c>
      <c r="I1937" s="4">
        <f>IF([1]Source!BA1810&lt;&gt; 0, [1]Source!BA1810, 1)</f>
        <v>1</v>
      </c>
      <c r="J1937" s="33">
        <f>[1]Source!S1810</f>
        <v>192677.7</v>
      </c>
      <c r="K1937" s="33"/>
      <c r="M1937"/>
      <c r="N1937"/>
      <c r="O1937"/>
      <c r="P1937"/>
      <c r="Q1937"/>
    </row>
    <row r="1938" spans="1:33" ht="15" x14ac:dyDescent="0.25">
      <c r="A1938" s="35"/>
      <c r="B1938" s="35"/>
      <c r="C1938" s="35"/>
      <c r="D1938" s="35"/>
      <c r="E1938" s="35"/>
      <c r="F1938" s="35"/>
      <c r="G1938" s="35"/>
      <c r="H1938" s="35"/>
      <c r="I1938" s="36">
        <f>J1937</f>
        <v>192677.7</v>
      </c>
      <c r="J1938" s="36"/>
      <c r="K1938" s="37">
        <f>IF([1]Source!I1810&lt;&gt;0, ROUND(I1938/[1]Source!I1810, 2), 0)</f>
        <v>1272.6400000000001</v>
      </c>
      <c r="M1938"/>
      <c r="N1938"/>
      <c r="O1938"/>
      <c r="P1938"/>
      <c r="Q1938"/>
      <c r="AA1938" s="38">
        <f>I1938</f>
        <v>192677.7</v>
      </c>
    </row>
    <row r="1939" spans="1:33" ht="42.75" x14ac:dyDescent="0.2">
      <c r="A1939" s="31">
        <v>271</v>
      </c>
      <c r="B1939" s="31" t="str">
        <f>[1]Source!F1811</f>
        <v>5.3-1102-19-1/1</v>
      </c>
      <c r="C1939" s="31" t="str">
        <f>[1]Source!G1811</f>
        <v>Уборка лестниц от снега вручную на территории типа ВДНХ - толщиной до 10 см</v>
      </c>
      <c r="D1939" s="32" t="str">
        <f>[1]Source!H1811</f>
        <v>100 м2</v>
      </c>
      <c r="E1939" s="4">
        <f>[1]Source!I1811</f>
        <v>1.514</v>
      </c>
      <c r="F1939" s="33"/>
      <c r="G1939" s="34"/>
      <c r="H1939" s="4"/>
      <c r="I1939" s="4"/>
      <c r="J1939" s="33"/>
      <c r="K1939" s="33"/>
      <c r="M1939"/>
      <c r="N1939"/>
      <c r="O1939"/>
      <c r="P1939"/>
      <c r="Q1939"/>
      <c r="AB1939">
        <f>ROUND(([1]Source!BZ1811/100)*ROUND(([1]Source!AF1811*[1]Source!AV1811)*[1]Source!I1811, 2), 2)</f>
        <v>109477.17</v>
      </c>
      <c r="AC1939">
        <f>[1]Source!X1811</f>
        <v>109477.17</v>
      </c>
      <c r="AD1939">
        <f>ROUND(([1]Source!CA1811/100)*ROUND(([1]Source!AF1811*[1]Source!AV1811)*[1]Source!I1811, 2), 2)</f>
        <v>15639.6</v>
      </c>
      <c r="AE1939">
        <f>[1]Source!Y1811</f>
        <v>15639.6</v>
      </c>
      <c r="AF1939">
        <f>ROUND((175/100)*ROUND(([1]Source!AE1811*[1]Source!AV1811)*[1]Source!I1811, 2), 2)</f>
        <v>0</v>
      </c>
      <c r="AG1939">
        <f>ROUND((108/100)*ROUND([1]Source!CS1811*[1]Source!I1811, 2), 2)</f>
        <v>0</v>
      </c>
    </row>
    <row r="1940" spans="1:33" x14ac:dyDescent="0.2">
      <c r="C1940" s="40" t="str">
        <f>"Объем: "&amp;[1]Source!I1811&amp;"=151,4/"&amp;"100"</f>
        <v>Объем: 1,514=151,4/100</v>
      </c>
      <c r="M1940"/>
      <c r="N1940"/>
      <c r="O1940"/>
      <c r="P1940"/>
      <c r="Q1940"/>
    </row>
    <row r="1941" spans="1:33" ht="14.25" x14ac:dyDescent="0.2">
      <c r="A1941" s="31"/>
      <c r="B1941" s="31"/>
      <c r="C1941" s="31" t="s">
        <v>34</v>
      </c>
      <c r="D1941" s="32"/>
      <c r="E1941" s="4"/>
      <c r="F1941" s="33">
        <f>[1]Source!AO1811</f>
        <v>153.72</v>
      </c>
      <c r="G1941" s="34" t="str">
        <f>[1]Source!DG1811</f>
        <v>)*4*168</v>
      </c>
      <c r="H1941" s="4">
        <f>[1]Source!AV1811</f>
        <v>1</v>
      </c>
      <c r="I1941" s="4">
        <f>IF([1]Source!BA1811&lt;&gt; 0, [1]Source!BA1811, 1)</f>
        <v>1</v>
      </c>
      <c r="J1941" s="33">
        <f>[1]Source!S1811</f>
        <v>156395.96</v>
      </c>
      <c r="K1941" s="33"/>
      <c r="M1941"/>
      <c r="N1941"/>
      <c r="O1941"/>
      <c r="P1941"/>
      <c r="Q1941"/>
    </row>
    <row r="1942" spans="1:33" ht="14.25" x14ac:dyDescent="0.2">
      <c r="A1942" s="31"/>
      <c r="B1942" s="31"/>
      <c r="C1942" s="31" t="s">
        <v>40</v>
      </c>
      <c r="D1942" s="32" t="s">
        <v>39</v>
      </c>
      <c r="E1942" s="4">
        <f>[1]Source!AT1811</f>
        <v>70</v>
      </c>
      <c r="F1942" s="33"/>
      <c r="G1942" s="34"/>
      <c r="H1942" s="4"/>
      <c r="I1942" s="4"/>
      <c r="J1942" s="33">
        <f>SUM(AC1939:AC1941)</f>
        <v>109477.17</v>
      </c>
      <c r="K1942" s="33"/>
      <c r="M1942"/>
      <c r="N1942"/>
      <c r="O1942"/>
      <c r="P1942"/>
      <c r="Q1942"/>
    </row>
    <row r="1943" spans="1:33" ht="14.25" x14ac:dyDescent="0.2">
      <c r="A1943" s="31"/>
      <c r="B1943" s="31"/>
      <c r="C1943" s="31" t="s">
        <v>41</v>
      </c>
      <c r="D1943" s="32" t="s">
        <v>39</v>
      </c>
      <c r="E1943" s="4">
        <f>[1]Source!AU1811</f>
        <v>10</v>
      </c>
      <c r="F1943" s="33"/>
      <c r="G1943" s="34"/>
      <c r="H1943" s="4"/>
      <c r="I1943" s="4"/>
      <c r="J1943" s="33">
        <f>SUM(AE1939:AE1942)</f>
        <v>15639.6</v>
      </c>
      <c r="K1943" s="33"/>
      <c r="M1943"/>
      <c r="N1943"/>
      <c r="O1943"/>
      <c r="P1943"/>
      <c r="Q1943"/>
    </row>
    <row r="1944" spans="1:33" ht="14.25" x14ac:dyDescent="0.2">
      <c r="A1944" s="31"/>
      <c r="B1944" s="31"/>
      <c r="C1944" s="31" t="s">
        <v>42</v>
      </c>
      <c r="D1944" s="32" t="s">
        <v>43</v>
      </c>
      <c r="E1944" s="4">
        <f>[1]Source!AQ1811</f>
        <v>0.62</v>
      </c>
      <c r="F1944" s="33"/>
      <c r="G1944" s="34" t="str">
        <f>[1]Source!DI1811</f>
        <v>)*4*168</v>
      </c>
      <c r="H1944" s="4">
        <f>[1]Source!AV1811</f>
        <v>1</v>
      </c>
      <c r="I1944" s="4"/>
      <c r="J1944" s="33"/>
      <c r="K1944" s="33">
        <f>[1]Source!U1811</f>
        <v>630.79295999999999</v>
      </c>
      <c r="M1944"/>
      <c r="N1944"/>
      <c r="O1944"/>
      <c r="P1944"/>
      <c r="Q1944"/>
    </row>
    <row r="1945" spans="1:33" ht="15" x14ac:dyDescent="0.25">
      <c r="A1945" s="35"/>
      <c r="B1945" s="35"/>
      <c r="C1945" s="35"/>
      <c r="D1945" s="35"/>
      <c r="E1945" s="35"/>
      <c r="F1945" s="35"/>
      <c r="G1945" s="35"/>
      <c r="H1945" s="35"/>
      <c r="I1945" s="36">
        <f>J1941+J1942+J1943</f>
        <v>281512.73</v>
      </c>
      <c r="J1945" s="36"/>
      <c r="K1945" s="37">
        <f>IF([1]Source!I1811&lt;&gt;0, ROUND(I1945/[1]Source!I1811, 2), 0)</f>
        <v>185939.72</v>
      </c>
      <c r="M1945"/>
      <c r="N1945"/>
      <c r="O1945"/>
      <c r="P1945"/>
      <c r="Q1945"/>
      <c r="AA1945" s="38">
        <f>I1945</f>
        <v>281512.73</v>
      </c>
    </row>
    <row r="1946" spans="1:33" ht="28.5" x14ac:dyDescent="0.2">
      <c r="A1946" s="31">
        <v>272</v>
      </c>
      <c r="B1946" s="31" t="str">
        <f>[1]Source!F1812</f>
        <v>5.3-1102-8-3/1</v>
      </c>
      <c r="C1946" s="31" t="str">
        <f>[1]Source!G1812</f>
        <v>Уборка слежавшегося снега вручную( 10% от151,4 м2)</v>
      </c>
      <c r="D1946" s="32" t="str">
        <f>[1]Source!H1812</f>
        <v>100 м2</v>
      </c>
      <c r="E1946" s="4">
        <f>[1]Source!I1812</f>
        <v>0.15140000000000001</v>
      </c>
      <c r="F1946" s="33"/>
      <c r="G1946" s="34"/>
      <c r="H1946" s="4"/>
      <c r="I1946" s="4"/>
      <c r="J1946" s="33"/>
      <c r="K1946" s="33"/>
      <c r="M1946"/>
      <c r="N1946"/>
      <c r="O1946"/>
      <c r="P1946"/>
      <c r="Q1946"/>
      <c r="AB1946">
        <f>ROUND(([1]Source!BZ1812/100)*ROUND(([1]Source!AF1812*[1]Source!AV1812)*[1]Source!I1812, 2), 2)</f>
        <v>1688.46</v>
      </c>
      <c r="AC1946">
        <f>[1]Source!X1812</f>
        <v>1688.46</v>
      </c>
      <c r="AD1946">
        <f>ROUND(([1]Source!CA1812/100)*ROUND(([1]Source!AF1812*[1]Source!AV1812)*[1]Source!I1812, 2), 2)</f>
        <v>241.21</v>
      </c>
      <c r="AE1946">
        <f>[1]Source!Y1812</f>
        <v>241.21</v>
      </c>
      <c r="AF1946">
        <f>ROUND((175/100)*ROUND(([1]Source!AE1812*[1]Source!AV1812)*[1]Source!I1812, 2), 2)</f>
        <v>0</v>
      </c>
      <c r="AG1946">
        <f>ROUND((108/100)*ROUND([1]Source!CS1812*[1]Source!I1812, 2), 2)</f>
        <v>0</v>
      </c>
    </row>
    <row r="1947" spans="1:33" x14ac:dyDescent="0.2">
      <c r="C1947" s="40" t="str">
        <f>"Объем: "&amp;[1]Source!I1812&amp;"=15,14/"&amp;"100"</f>
        <v>Объем: 0,1514=15,14/100</v>
      </c>
      <c r="M1947"/>
      <c r="N1947"/>
      <c r="O1947"/>
      <c r="P1947"/>
      <c r="Q1947"/>
    </row>
    <row r="1948" spans="1:33" ht="14.25" x14ac:dyDescent="0.2">
      <c r="A1948" s="31"/>
      <c r="B1948" s="31"/>
      <c r="C1948" s="31" t="s">
        <v>34</v>
      </c>
      <c r="D1948" s="32"/>
      <c r="E1948" s="4"/>
      <c r="F1948" s="33">
        <f>[1]Source!AO1812</f>
        <v>379.33</v>
      </c>
      <c r="G1948" s="34" t="str">
        <f>[1]Source!DG1812</f>
        <v>)*1*42</v>
      </c>
      <c r="H1948" s="4">
        <f>[1]Source!AV1812</f>
        <v>1</v>
      </c>
      <c r="I1948" s="4">
        <f>IF([1]Source!BA1812&lt;&gt; 0, [1]Source!BA1812, 1)</f>
        <v>1</v>
      </c>
      <c r="J1948" s="33">
        <f>[1]Source!S1812</f>
        <v>2412.08</v>
      </c>
      <c r="K1948" s="33"/>
      <c r="M1948"/>
      <c r="N1948"/>
      <c r="O1948"/>
      <c r="P1948"/>
      <c r="Q1948"/>
    </row>
    <row r="1949" spans="1:33" ht="14.25" x14ac:dyDescent="0.2">
      <c r="A1949" s="31"/>
      <c r="B1949" s="31"/>
      <c r="C1949" s="31" t="s">
        <v>40</v>
      </c>
      <c r="D1949" s="32" t="s">
        <v>39</v>
      </c>
      <c r="E1949" s="4">
        <f>[1]Source!AT1812</f>
        <v>70</v>
      </c>
      <c r="F1949" s="33"/>
      <c r="G1949" s="34"/>
      <c r="H1949" s="4"/>
      <c r="I1949" s="4"/>
      <c r="J1949" s="33">
        <f>SUM(AC1946:AC1948)</f>
        <v>1688.46</v>
      </c>
      <c r="K1949" s="33"/>
      <c r="M1949"/>
      <c r="N1949"/>
      <c r="O1949"/>
      <c r="P1949"/>
      <c r="Q1949"/>
    </row>
    <row r="1950" spans="1:33" ht="14.25" x14ac:dyDescent="0.2">
      <c r="A1950" s="31"/>
      <c r="B1950" s="31"/>
      <c r="C1950" s="31" t="s">
        <v>41</v>
      </c>
      <c r="D1950" s="32" t="s">
        <v>39</v>
      </c>
      <c r="E1950" s="4">
        <f>[1]Source!AU1812</f>
        <v>10</v>
      </c>
      <c r="F1950" s="33"/>
      <c r="G1950" s="34"/>
      <c r="H1950" s="4"/>
      <c r="I1950" s="4"/>
      <c r="J1950" s="33">
        <f>SUM(AE1946:AE1949)</f>
        <v>241.21</v>
      </c>
      <c r="K1950" s="33"/>
      <c r="M1950"/>
      <c r="N1950"/>
      <c r="O1950"/>
      <c r="P1950"/>
      <c r="Q1950"/>
    </row>
    <row r="1951" spans="1:33" ht="14.25" x14ac:dyDescent="0.2">
      <c r="A1951" s="31"/>
      <c r="B1951" s="31"/>
      <c r="C1951" s="31" t="s">
        <v>42</v>
      </c>
      <c r="D1951" s="32" t="s">
        <v>43</v>
      </c>
      <c r="E1951" s="4">
        <f>[1]Source!AQ1812</f>
        <v>1.53</v>
      </c>
      <c r="F1951" s="33"/>
      <c r="G1951" s="34" t="str">
        <f>[1]Source!DI1812</f>
        <v>)*1*42</v>
      </c>
      <c r="H1951" s="4">
        <f>[1]Source!AV1812</f>
        <v>1</v>
      </c>
      <c r="I1951" s="4"/>
      <c r="J1951" s="33"/>
      <c r="K1951" s="33">
        <f>[1]Source!U1812</f>
        <v>9.7289640000000013</v>
      </c>
      <c r="M1951"/>
      <c r="N1951"/>
      <c r="O1951"/>
      <c r="P1951"/>
      <c r="Q1951"/>
    </row>
    <row r="1952" spans="1:33" ht="15" x14ac:dyDescent="0.25">
      <c r="A1952" s="35"/>
      <c r="B1952" s="35"/>
      <c r="C1952" s="35"/>
      <c r="D1952" s="35"/>
      <c r="E1952" s="35"/>
      <c r="F1952" s="35"/>
      <c r="G1952" s="35"/>
      <c r="H1952" s="35"/>
      <c r="I1952" s="36">
        <f>J1948+J1949+J1950</f>
        <v>4341.75</v>
      </c>
      <c r="J1952" s="36"/>
      <c r="K1952" s="37">
        <f>IF([1]Source!I1812&lt;&gt;0, ROUND(I1952/[1]Source!I1812, 2), 0)</f>
        <v>28677.34</v>
      </c>
      <c r="M1952"/>
      <c r="N1952"/>
      <c r="O1952"/>
      <c r="P1952"/>
      <c r="Q1952"/>
      <c r="AA1952" s="38">
        <f>I1952</f>
        <v>4341.75</v>
      </c>
    </row>
    <row r="1953" spans="1:33" ht="28.5" x14ac:dyDescent="0.2">
      <c r="A1953" s="31">
        <v>273</v>
      </c>
      <c r="B1953" s="31" t="str">
        <f>[1]Source!F1813</f>
        <v>калькуляция</v>
      </c>
      <c r="C1953" s="31" t="str">
        <f>[1]Source!G1813</f>
        <v>Посыпка гранитной крошкой дорожных покрытий вручную( 100г/м2 )</v>
      </c>
      <c r="D1953" s="32" t="str">
        <f>[1]Source!H1813</f>
        <v>м2</v>
      </c>
      <c r="E1953" s="4">
        <f>[1]Source!I1813</f>
        <v>151.4</v>
      </c>
      <c r="F1953" s="33"/>
      <c r="G1953" s="34"/>
      <c r="H1953" s="4"/>
      <c r="I1953" s="4"/>
      <c r="J1953" s="33"/>
      <c r="K1953" s="33"/>
      <c r="M1953"/>
      <c r="N1953"/>
      <c r="O1953"/>
      <c r="P1953"/>
      <c r="Q1953"/>
      <c r="AB1953">
        <f>ROUND(([1]Source!BZ1813/100)*ROUND(([1]Source!AF1813*[1]Source!AV1813)*[1]Source!I1813, 2), 2)</f>
        <v>0</v>
      </c>
      <c r="AC1953">
        <f>[1]Source!X1813</f>
        <v>0</v>
      </c>
      <c r="AD1953">
        <f>ROUND(([1]Source!CA1813/100)*ROUND(([1]Source!AF1813*[1]Source!AV1813)*[1]Source!I1813, 2), 2)</f>
        <v>0</v>
      </c>
      <c r="AE1953">
        <f>[1]Source!Y1813</f>
        <v>0</v>
      </c>
      <c r="AF1953">
        <f>ROUND((175/100)*ROUND(([1]Source!AE1813*[1]Source!AV1813)*[1]Source!I1813, 2), 2)</f>
        <v>0</v>
      </c>
      <c r="AG1953">
        <f>ROUND((108/100)*ROUND([1]Source!CS1813*[1]Source!I1813, 2), 2)</f>
        <v>0</v>
      </c>
    </row>
    <row r="1954" spans="1:33" ht="14.25" x14ac:dyDescent="0.2">
      <c r="A1954" s="31"/>
      <c r="B1954" s="31"/>
      <c r="C1954" s="31" t="s">
        <v>34</v>
      </c>
      <c r="D1954" s="32"/>
      <c r="E1954" s="4"/>
      <c r="F1954" s="33">
        <f>[1]Source!AO1813</f>
        <v>2.08</v>
      </c>
      <c r="G1954" s="34" t="str">
        <f>[1]Source!DG1813</f>
        <v>)*4*168</v>
      </c>
      <c r="H1954" s="4">
        <f>[1]Source!AV1813</f>
        <v>1</v>
      </c>
      <c r="I1954" s="4">
        <f>IF([1]Source!BA1813&lt;&gt; 0, [1]Source!BA1813, 1)</f>
        <v>1</v>
      </c>
      <c r="J1954" s="33">
        <f>[1]Source!S1813</f>
        <v>211620.86</v>
      </c>
      <c r="K1954" s="33"/>
      <c r="M1954"/>
      <c r="N1954"/>
      <c r="O1954"/>
      <c r="P1954"/>
      <c r="Q1954"/>
    </row>
    <row r="1955" spans="1:33" ht="14.25" x14ac:dyDescent="0.2">
      <c r="A1955" s="31" t="s">
        <v>96</v>
      </c>
      <c r="B1955" s="31" t="str">
        <f>[1]Source!F1814</f>
        <v>цена поставщика</v>
      </c>
      <c r="C1955" s="31" t="str">
        <f>[1]Source!G1814</f>
        <v>Крошка гранитная</v>
      </c>
      <c r="D1955" s="32" t="str">
        <f>[1]Source!H1814</f>
        <v>кг</v>
      </c>
      <c r="E1955" s="4">
        <f>[1]Source!I1814</f>
        <v>10174.08</v>
      </c>
      <c r="F1955" s="33">
        <f>[1]Source!AK1814</f>
        <v>4.43</v>
      </c>
      <c r="G1955" s="39" t="s">
        <v>45</v>
      </c>
      <c r="H1955" s="4">
        <f>[1]Source!AW1814</f>
        <v>1</v>
      </c>
      <c r="I1955" s="4">
        <f>IF([1]Source!BC1814&lt;&gt; 0, [1]Source!BC1814, 1)</f>
        <v>1</v>
      </c>
      <c r="J1955" s="33">
        <f>[1]Source!O1814</f>
        <v>45071.17</v>
      </c>
      <c r="K1955" s="33"/>
      <c r="M1955"/>
      <c r="N1955"/>
      <c r="O1955"/>
      <c r="P1955"/>
      <c r="Q1955"/>
      <c r="AB1955">
        <f>ROUND(([1]Source!BZ1814/100)*ROUND(([1]Source!AF1814*[1]Source!AV1814)*[1]Source!I1814, 2), 2)</f>
        <v>0</v>
      </c>
      <c r="AC1955">
        <f>[1]Source!X1814</f>
        <v>0</v>
      </c>
      <c r="AD1955">
        <f>ROUND(([1]Source!CA1814/100)*ROUND(([1]Source!AF1814*[1]Source!AV1814)*[1]Source!I1814, 2), 2)</f>
        <v>0</v>
      </c>
      <c r="AE1955">
        <f>[1]Source!Y1814</f>
        <v>0</v>
      </c>
      <c r="AF1955">
        <f>ROUND((175/100)*ROUND(([1]Source!AE1814*[1]Source!AV1814)*[1]Source!I1814, 2), 2)</f>
        <v>0</v>
      </c>
      <c r="AG1955">
        <f>ROUND((108/100)*ROUND([1]Source!CS1814*[1]Source!I1814, 2), 2)</f>
        <v>0</v>
      </c>
    </row>
    <row r="1956" spans="1:33" ht="15" x14ac:dyDescent="0.25">
      <c r="A1956" s="35"/>
      <c r="B1956" s="35"/>
      <c r="C1956" s="35"/>
      <c r="D1956" s="35"/>
      <c r="E1956" s="35"/>
      <c r="F1956" s="35"/>
      <c r="G1956" s="35"/>
      <c r="H1956" s="35"/>
      <c r="I1956" s="36">
        <f>J1954+SUM(J1955:J1955)</f>
        <v>256692.02999999997</v>
      </c>
      <c r="J1956" s="36"/>
      <c r="K1956" s="37">
        <f>IF([1]Source!I1813&lt;&gt;0, ROUND(I1956/[1]Source!I1813, 2), 0)</f>
        <v>1695.46</v>
      </c>
      <c r="M1956"/>
      <c r="N1956"/>
      <c r="O1956"/>
      <c r="P1956"/>
      <c r="Q1956"/>
      <c r="AA1956" s="38">
        <f>I1956</f>
        <v>256692.02999999997</v>
      </c>
    </row>
    <row r="1957" spans="1:33" x14ac:dyDescent="0.2">
      <c r="M1957"/>
      <c r="N1957"/>
      <c r="O1957"/>
      <c r="P1957"/>
      <c r="Q1957"/>
    </row>
    <row r="1958" spans="1:33" ht="15" x14ac:dyDescent="0.25">
      <c r="A1958" s="42" t="str">
        <f>CONCATENATE("Итого по подразделу: ",IF([1]Source!G1816&lt;&gt;"Новый подраздел", [1]Source!G1816, ""))</f>
        <v>Итого по подразделу: Содержание лестниц</v>
      </c>
      <c r="B1958" s="42"/>
      <c r="C1958" s="42"/>
      <c r="D1958" s="42"/>
      <c r="E1958" s="42"/>
      <c r="F1958" s="42"/>
      <c r="G1958" s="42"/>
      <c r="H1958" s="42"/>
      <c r="I1958" s="43">
        <f>SUM(AA1935:AA1957)</f>
        <v>735224.21</v>
      </c>
      <c r="J1958" s="44"/>
      <c r="K1958" s="47"/>
      <c r="L1958" s="38">
        <f>I1958</f>
        <v>735224.21</v>
      </c>
      <c r="M1958" s="2">
        <f>ROUND(I1958*$I$4874,2)</f>
        <v>530983.96</v>
      </c>
      <c r="N1958" s="2">
        <f>ROUND(M1958*1.2/105*100,2)</f>
        <v>606838.81000000006</v>
      </c>
      <c r="O1958" s="2">
        <f>ROUND(N1958*0.05,2)</f>
        <v>30341.94</v>
      </c>
      <c r="P1958" s="2">
        <f>N1958+O1958</f>
        <v>637180.75</v>
      </c>
      <c r="Q1958" s="3">
        <v>59</v>
      </c>
      <c r="S1958" s="2">
        <v>117957.89</v>
      </c>
    </row>
    <row r="1959" spans="1:33" x14ac:dyDescent="0.2">
      <c r="M1959"/>
      <c r="N1959"/>
      <c r="O1959"/>
      <c r="P1959"/>
      <c r="Q1959"/>
    </row>
    <row r="1960" spans="1:33" x14ac:dyDescent="0.2">
      <c r="M1960"/>
      <c r="N1960"/>
      <c r="O1960"/>
      <c r="P1960"/>
      <c r="Q1960"/>
    </row>
    <row r="1961" spans="1:33" ht="16.5" x14ac:dyDescent="0.25">
      <c r="A1961" s="29" t="str">
        <f>CONCATENATE("Подраздел: ",IF([1]Source!G1846&lt;&gt;"Новый подраздел", [1]Source!G1846, ""))</f>
        <v>Подраздел: Уход за подпорными стенками</v>
      </c>
      <c r="B1961" s="29"/>
      <c r="C1961" s="29"/>
      <c r="D1961" s="29"/>
      <c r="E1961" s="29"/>
      <c r="F1961" s="29"/>
      <c r="G1961" s="29"/>
      <c r="H1961" s="29"/>
      <c r="I1961" s="29"/>
      <c r="J1961" s="29"/>
      <c r="K1961" s="29"/>
      <c r="M1961"/>
      <c r="N1961"/>
      <c r="O1961"/>
      <c r="P1961"/>
      <c r="Q1961"/>
    </row>
    <row r="1962" spans="1:33" ht="28.5" x14ac:dyDescent="0.2">
      <c r="A1962" s="31">
        <v>274</v>
      </c>
      <c r="B1962" s="31" t="str">
        <f>[1]Source!F1850</f>
        <v>калькуляция</v>
      </c>
      <c r="C1962" s="31" t="str">
        <f>[1]Source!G1850</f>
        <v>Очистка от снега гранитных подпорных стенок</v>
      </c>
      <c r="D1962" s="32" t="str">
        <f>[1]Source!H1850</f>
        <v>м2</v>
      </c>
      <c r="E1962" s="4">
        <f>[1]Source!I1850</f>
        <v>942.1</v>
      </c>
      <c r="F1962" s="33"/>
      <c r="G1962" s="34"/>
      <c r="H1962" s="4"/>
      <c r="I1962" s="4"/>
      <c r="J1962" s="33"/>
      <c r="K1962" s="33"/>
      <c r="M1962"/>
      <c r="N1962"/>
      <c r="O1962"/>
      <c r="P1962"/>
      <c r="Q1962"/>
      <c r="AB1962">
        <f>ROUND(([1]Source!BZ1850/100)*ROUND(([1]Source!AF1850*[1]Source!AV1850)*[1]Source!I1850, 2), 2)</f>
        <v>0</v>
      </c>
      <c r="AC1962">
        <f>[1]Source!X1850</f>
        <v>0</v>
      </c>
      <c r="AD1962">
        <f>ROUND(([1]Source!CA1850/100)*ROUND(([1]Source!AF1850*[1]Source!AV1850)*[1]Source!I1850, 2), 2)</f>
        <v>0</v>
      </c>
      <c r="AE1962">
        <f>[1]Source!Y1850</f>
        <v>0</v>
      </c>
      <c r="AF1962">
        <f>ROUND((175/100)*ROUND(([1]Source!AE1850*[1]Source!AV1850)*[1]Source!I1850, 2), 2)</f>
        <v>0</v>
      </c>
      <c r="AG1962">
        <f>ROUND((108/100)*ROUND([1]Source!CS1850*[1]Source!I1850, 2), 2)</f>
        <v>0</v>
      </c>
    </row>
    <row r="1963" spans="1:33" ht="14.25" x14ac:dyDescent="0.2">
      <c r="A1963" s="31"/>
      <c r="B1963" s="31"/>
      <c r="C1963" s="31" t="s">
        <v>34</v>
      </c>
      <c r="D1963" s="32"/>
      <c r="E1963" s="4"/>
      <c r="F1963" s="33">
        <f>[1]Source!AO1850</f>
        <v>3.45</v>
      </c>
      <c r="G1963" s="34" t="str">
        <f>[1]Source!DG1850</f>
        <v>)*1*10</v>
      </c>
      <c r="H1963" s="4">
        <f>[1]Source!AV1850</f>
        <v>1</v>
      </c>
      <c r="I1963" s="4">
        <f>IF([1]Source!BA1850&lt;&gt; 0, [1]Source!BA1850, 1)</f>
        <v>1</v>
      </c>
      <c r="J1963" s="33">
        <f>[1]Source!S1850</f>
        <v>32502.45</v>
      </c>
      <c r="K1963" s="33"/>
      <c r="M1963"/>
      <c r="N1963"/>
      <c r="O1963"/>
      <c r="P1963"/>
      <c r="Q1963"/>
    </row>
    <row r="1964" spans="1:33" ht="15" x14ac:dyDescent="0.25">
      <c r="A1964" s="35"/>
      <c r="B1964" s="35"/>
      <c r="C1964" s="35"/>
      <c r="D1964" s="35"/>
      <c r="E1964" s="35"/>
      <c r="F1964" s="35"/>
      <c r="G1964" s="35"/>
      <c r="H1964" s="35"/>
      <c r="I1964" s="36">
        <f>J1963</f>
        <v>32502.45</v>
      </c>
      <c r="J1964" s="36"/>
      <c r="K1964" s="37">
        <f>IF([1]Source!I1850&lt;&gt;0, ROUND(I1964/[1]Source!I1850, 2), 0)</f>
        <v>34.5</v>
      </c>
      <c r="M1964"/>
      <c r="N1964"/>
      <c r="O1964"/>
      <c r="P1964"/>
      <c r="Q1964"/>
      <c r="AA1964" s="38">
        <f>I1964</f>
        <v>32502.45</v>
      </c>
    </row>
    <row r="1965" spans="1:33" x14ac:dyDescent="0.2">
      <c r="M1965"/>
      <c r="N1965"/>
      <c r="O1965"/>
      <c r="P1965"/>
      <c r="Q1965"/>
    </row>
    <row r="1966" spans="1:33" ht="15" x14ac:dyDescent="0.25">
      <c r="A1966" s="42" t="str">
        <f>CONCATENATE("Итого по подразделу: ",IF([1]Source!G1852&lt;&gt;"Новый подраздел", [1]Source!G1852, ""))</f>
        <v>Итого по подразделу: Уход за подпорными стенками</v>
      </c>
      <c r="B1966" s="42"/>
      <c r="C1966" s="42"/>
      <c r="D1966" s="42"/>
      <c r="E1966" s="42"/>
      <c r="F1966" s="42"/>
      <c r="G1966" s="42"/>
      <c r="H1966" s="42"/>
      <c r="I1966" s="43">
        <f>SUM(AA1961:AA1965)</f>
        <v>32502.45</v>
      </c>
      <c r="J1966" s="44"/>
      <c r="K1966" s="47"/>
      <c r="L1966" s="38">
        <f>I1966</f>
        <v>32502.45</v>
      </c>
      <c r="M1966" s="2">
        <f>ROUND(I1966*$I$4874,2)</f>
        <v>23473.49</v>
      </c>
      <c r="N1966" s="2">
        <f>ROUND(M1966*1.2/105*100,2)</f>
        <v>26826.85</v>
      </c>
      <c r="O1966" s="2">
        <f>ROUND(N1966*0.05,2)</f>
        <v>1341.34</v>
      </c>
      <c r="P1966" s="2">
        <f>N1966+O1966</f>
        <v>28168.19</v>
      </c>
      <c r="Q1966" s="3">
        <v>60</v>
      </c>
      <c r="S1966" s="2">
        <v>5633.65</v>
      </c>
    </row>
    <row r="1967" spans="1:33" x14ac:dyDescent="0.2">
      <c r="M1967"/>
      <c r="N1967"/>
      <c r="O1967"/>
      <c r="P1967"/>
      <c r="Q1967"/>
    </row>
    <row r="1968" spans="1:33" x14ac:dyDescent="0.2">
      <c r="M1968"/>
      <c r="N1968"/>
      <c r="O1968"/>
      <c r="P1968"/>
      <c r="Q1968"/>
    </row>
    <row r="1969" spans="1:33" ht="16.5" x14ac:dyDescent="0.25">
      <c r="A1969" s="29" t="str">
        <f>CONCATENATE("Подраздел: ",IF([1]Source!G1882&lt;&gt;"Новый подраздел", [1]Source!G1882, ""))</f>
        <v>Подраздел: Уход за бортовыми камнями</v>
      </c>
      <c r="B1969" s="29"/>
      <c r="C1969" s="29"/>
      <c r="D1969" s="29"/>
      <c r="E1969" s="29"/>
      <c r="F1969" s="29"/>
      <c r="G1969" s="29"/>
      <c r="H1969" s="29"/>
      <c r="I1969" s="29"/>
      <c r="J1969" s="29"/>
      <c r="K1969" s="29"/>
      <c r="M1969"/>
      <c r="N1969"/>
      <c r="O1969"/>
      <c r="P1969"/>
      <c r="Q1969"/>
    </row>
    <row r="1970" spans="1:33" ht="28.5" x14ac:dyDescent="0.2">
      <c r="A1970" s="31">
        <v>275</v>
      </c>
      <c r="B1970" s="31" t="str">
        <f>[1]Source!F1886</f>
        <v>калькуляция</v>
      </c>
      <c r="C1970" s="31" t="str">
        <f>[1]Source!G1886</f>
        <v>Уход за бортовыми камнями(  подметание вручную)</v>
      </c>
      <c r="D1970" s="32" t="str">
        <f>[1]Source!H1886</f>
        <v>м2</v>
      </c>
      <c r="E1970" s="4">
        <f>[1]Source!I1886</f>
        <v>111.72</v>
      </c>
      <c r="F1970" s="33"/>
      <c r="G1970" s="34"/>
      <c r="H1970" s="4"/>
      <c r="I1970" s="4"/>
      <c r="J1970" s="33"/>
      <c r="K1970" s="33"/>
      <c r="M1970"/>
      <c r="N1970"/>
      <c r="O1970"/>
      <c r="P1970"/>
      <c r="Q1970"/>
      <c r="AB1970">
        <f>ROUND(([1]Source!BZ1886/100)*ROUND(([1]Source!AF1886*[1]Source!AV1886)*[1]Source!I1886, 2), 2)</f>
        <v>0</v>
      </c>
      <c r="AC1970">
        <f>[1]Source!X1886</f>
        <v>0</v>
      </c>
      <c r="AD1970">
        <f>ROUND(([1]Source!CA1886/100)*ROUND(([1]Source!AF1886*[1]Source!AV1886)*[1]Source!I1886, 2), 2)</f>
        <v>0</v>
      </c>
      <c r="AE1970">
        <f>[1]Source!Y1886</f>
        <v>0</v>
      </c>
      <c r="AF1970">
        <f>ROUND((175/100)*ROUND(([1]Source!AE1886*[1]Source!AV1886)*[1]Source!I1886, 2), 2)</f>
        <v>0</v>
      </c>
      <c r="AG1970">
        <f>ROUND((108/100)*ROUND([1]Source!CS1886*[1]Source!I1886, 2), 2)</f>
        <v>0</v>
      </c>
    </row>
    <row r="1971" spans="1:33" ht="14.25" x14ac:dyDescent="0.2">
      <c r="A1971" s="31"/>
      <c r="B1971" s="31"/>
      <c r="C1971" s="31" t="s">
        <v>34</v>
      </c>
      <c r="D1971" s="32"/>
      <c r="E1971" s="4"/>
      <c r="F1971" s="33">
        <f>[1]Source!AO1886</f>
        <v>1.24</v>
      </c>
      <c r="G1971" s="34" t="str">
        <f>[1]Source!DG1886</f>
        <v>)*1*164</v>
      </c>
      <c r="H1971" s="4">
        <f>[1]Source!AV1886</f>
        <v>1</v>
      </c>
      <c r="I1971" s="4">
        <f>IF([1]Source!BA1886&lt;&gt; 0, [1]Source!BA1886, 1)</f>
        <v>1</v>
      </c>
      <c r="J1971" s="33">
        <f>[1]Source!S1886</f>
        <v>22719.38</v>
      </c>
      <c r="K1971" s="33"/>
      <c r="M1971"/>
      <c r="N1971"/>
      <c r="O1971"/>
      <c r="P1971"/>
      <c r="Q1971"/>
    </row>
    <row r="1972" spans="1:33" ht="15" x14ac:dyDescent="0.25">
      <c r="A1972" s="35"/>
      <c r="B1972" s="35"/>
      <c r="C1972" s="35"/>
      <c r="D1972" s="35"/>
      <c r="E1972" s="35"/>
      <c r="F1972" s="35"/>
      <c r="G1972" s="35"/>
      <c r="H1972" s="35"/>
      <c r="I1972" s="36">
        <f>J1971</f>
        <v>22719.38</v>
      </c>
      <c r="J1972" s="36"/>
      <c r="K1972" s="37">
        <f>IF([1]Source!I1886&lt;&gt;0, ROUND(I1972/[1]Source!I1886, 2), 0)</f>
        <v>203.36</v>
      </c>
      <c r="M1972"/>
      <c r="N1972"/>
      <c r="O1972"/>
      <c r="P1972"/>
      <c r="Q1972"/>
      <c r="AA1972" s="38">
        <f>I1972</f>
        <v>22719.38</v>
      </c>
    </row>
    <row r="1973" spans="1:33" ht="28.5" x14ac:dyDescent="0.2">
      <c r="A1973" s="31">
        <v>276</v>
      </c>
      <c r="B1973" s="31" t="str">
        <f>[1]Source!F1887</f>
        <v>5.3-1102-8-1/1</v>
      </c>
      <c r="C1973" s="31" t="str">
        <f>[1]Source!G1887</f>
        <v>Уборка свежевыпавшего снега вручную толщиной слоя до 10 см</v>
      </c>
      <c r="D1973" s="32" t="str">
        <f>[1]Source!H1887</f>
        <v>100 м2</v>
      </c>
      <c r="E1973" s="4">
        <f>[1]Source!I1887</f>
        <v>1.1172</v>
      </c>
      <c r="F1973" s="33"/>
      <c r="G1973" s="34"/>
      <c r="H1973" s="4"/>
      <c r="I1973" s="4"/>
      <c r="J1973" s="33"/>
      <c r="K1973" s="33"/>
      <c r="M1973"/>
      <c r="N1973"/>
      <c r="O1973"/>
      <c r="P1973"/>
      <c r="Q1973"/>
      <c r="AB1973">
        <f>ROUND(([1]Source!BZ1887/100)*ROUND(([1]Source!AF1887*[1]Source!AV1887)*[1]Source!I1887, 2), 2)</f>
        <v>84689.3</v>
      </c>
      <c r="AC1973">
        <f>[1]Source!X1887</f>
        <v>84689.3</v>
      </c>
      <c r="AD1973">
        <f>ROUND(([1]Source!CA1887/100)*ROUND(([1]Source!AF1887*[1]Source!AV1887)*[1]Source!I1887, 2), 2)</f>
        <v>12098.47</v>
      </c>
      <c r="AE1973">
        <f>[1]Source!Y1887</f>
        <v>12098.47</v>
      </c>
      <c r="AF1973">
        <f>ROUND((175/100)*ROUND(([1]Source!AE1887*[1]Source!AV1887)*[1]Source!I1887, 2), 2)</f>
        <v>0</v>
      </c>
      <c r="AG1973">
        <f>ROUND((108/100)*ROUND([1]Source!CS1887*[1]Source!I1887, 2), 2)</f>
        <v>0</v>
      </c>
    </row>
    <row r="1974" spans="1:33" x14ac:dyDescent="0.2">
      <c r="C1974" s="40" t="str">
        <f>"Объем: "&amp;[1]Source!I1887&amp;"=111,72/"&amp;"100"</f>
        <v>Объем: 1,1172=111,72/100</v>
      </c>
      <c r="M1974"/>
      <c r="N1974"/>
      <c r="O1974"/>
      <c r="P1974"/>
      <c r="Q1974"/>
    </row>
    <row r="1975" spans="1:33" ht="14.25" x14ac:dyDescent="0.2">
      <c r="A1975" s="31"/>
      <c r="B1975" s="31"/>
      <c r="C1975" s="31" t="s">
        <v>34</v>
      </c>
      <c r="D1975" s="32"/>
      <c r="E1975" s="4"/>
      <c r="F1975" s="33">
        <f>[1]Source!AO1887</f>
        <v>161.15</v>
      </c>
      <c r="G1975" s="34" t="str">
        <f>[1]Source!DG1887</f>
        <v>)*4*168</v>
      </c>
      <c r="H1975" s="4">
        <f>[1]Source!AV1887</f>
        <v>1</v>
      </c>
      <c r="I1975" s="4">
        <f>IF([1]Source!BA1887&lt;&gt; 0, [1]Source!BA1887, 1)</f>
        <v>1</v>
      </c>
      <c r="J1975" s="33">
        <f>[1]Source!S1887</f>
        <v>120984.72</v>
      </c>
      <c r="K1975" s="33"/>
      <c r="M1975"/>
      <c r="N1975"/>
      <c r="O1975"/>
      <c r="P1975"/>
      <c r="Q1975"/>
    </row>
    <row r="1976" spans="1:33" ht="14.25" x14ac:dyDescent="0.2">
      <c r="A1976" s="31"/>
      <c r="B1976" s="31"/>
      <c r="C1976" s="31" t="s">
        <v>40</v>
      </c>
      <c r="D1976" s="32" t="s">
        <v>39</v>
      </c>
      <c r="E1976" s="4">
        <f>[1]Source!AT1887</f>
        <v>70</v>
      </c>
      <c r="F1976" s="33"/>
      <c r="G1976" s="34"/>
      <c r="H1976" s="4"/>
      <c r="I1976" s="4"/>
      <c r="J1976" s="33">
        <f>SUM(AC1973:AC1975)</f>
        <v>84689.3</v>
      </c>
      <c r="K1976" s="33"/>
      <c r="M1976"/>
      <c r="N1976"/>
      <c r="O1976"/>
      <c r="P1976"/>
      <c r="Q1976"/>
    </row>
    <row r="1977" spans="1:33" ht="14.25" x14ac:dyDescent="0.2">
      <c r="A1977" s="31"/>
      <c r="B1977" s="31"/>
      <c r="C1977" s="31" t="s">
        <v>41</v>
      </c>
      <c r="D1977" s="32" t="s">
        <v>39</v>
      </c>
      <c r="E1977" s="4">
        <f>[1]Source!AU1887</f>
        <v>10</v>
      </c>
      <c r="F1977" s="33"/>
      <c r="G1977" s="34"/>
      <c r="H1977" s="4"/>
      <c r="I1977" s="4"/>
      <c r="J1977" s="33">
        <f>SUM(AE1973:AE1976)</f>
        <v>12098.47</v>
      </c>
      <c r="K1977" s="33"/>
      <c r="M1977"/>
      <c r="N1977"/>
      <c r="O1977"/>
      <c r="P1977"/>
      <c r="Q1977"/>
    </row>
    <row r="1978" spans="1:33" ht="14.25" x14ac:dyDescent="0.2">
      <c r="A1978" s="31"/>
      <c r="B1978" s="31"/>
      <c r="C1978" s="31" t="s">
        <v>42</v>
      </c>
      <c r="D1978" s="32" t="s">
        <v>43</v>
      </c>
      <c r="E1978" s="4">
        <f>[1]Source!AQ1887</f>
        <v>0.65</v>
      </c>
      <c r="F1978" s="33"/>
      <c r="G1978" s="34" t="str">
        <f>[1]Source!DI1887</f>
        <v>)*4*168</v>
      </c>
      <c r="H1978" s="4">
        <f>[1]Source!AV1887</f>
        <v>1</v>
      </c>
      <c r="I1978" s="4"/>
      <c r="J1978" s="33"/>
      <c r="K1978" s="33">
        <f>[1]Source!U1887</f>
        <v>487.99295999999998</v>
      </c>
      <c r="M1978"/>
      <c r="N1978"/>
      <c r="O1978"/>
      <c r="P1978"/>
      <c r="Q1978"/>
    </row>
    <row r="1979" spans="1:33" ht="15" x14ac:dyDescent="0.25">
      <c r="A1979" s="35"/>
      <c r="B1979" s="35"/>
      <c r="C1979" s="35"/>
      <c r="D1979" s="35"/>
      <c r="E1979" s="35"/>
      <c r="F1979" s="35"/>
      <c r="G1979" s="35"/>
      <c r="H1979" s="35"/>
      <c r="I1979" s="36">
        <f>J1975+J1976+J1977</f>
        <v>217772.49000000002</v>
      </c>
      <c r="J1979" s="36"/>
      <c r="K1979" s="37">
        <f>IF([1]Source!I1887&lt;&gt;0, ROUND(I1979/[1]Source!I1887, 2), 0)</f>
        <v>194927.04</v>
      </c>
      <c r="M1979"/>
      <c r="N1979"/>
      <c r="O1979"/>
      <c r="P1979"/>
      <c r="Q1979"/>
      <c r="AA1979" s="38">
        <f>I1979</f>
        <v>217772.49000000002</v>
      </c>
    </row>
    <row r="1980" spans="1:33" x14ac:dyDescent="0.2">
      <c r="M1980"/>
      <c r="N1980"/>
      <c r="O1980"/>
      <c r="P1980"/>
      <c r="Q1980"/>
    </row>
    <row r="1981" spans="1:33" ht="15" x14ac:dyDescent="0.25">
      <c r="A1981" s="42" t="str">
        <f>CONCATENATE("Итого по подразделу: ",IF([1]Source!G1889&lt;&gt;"Новый подраздел", [1]Source!G1889, ""))</f>
        <v>Итого по подразделу: Уход за бортовыми камнями</v>
      </c>
      <c r="B1981" s="42"/>
      <c r="C1981" s="42"/>
      <c r="D1981" s="42"/>
      <c r="E1981" s="42"/>
      <c r="F1981" s="42"/>
      <c r="G1981" s="42"/>
      <c r="H1981" s="42"/>
      <c r="I1981" s="43">
        <f>SUM(AA1969:AA1980)</f>
        <v>240491.87000000002</v>
      </c>
      <c r="J1981" s="44"/>
      <c r="K1981" s="47"/>
      <c r="L1981" s="38">
        <f>I1981</f>
        <v>240491.87000000002</v>
      </c>
      <c r="M1981" s="2">
        <f>ROUND(I1981*$I$4874,2)</f>
        <v>173684.88</v>
      </c>
      <c r="N1981" s="2">
        <f>ROUND(M1981*1.2/105*100,2)</f>
        <v>198497.01</v>
      </c>
      <c r="O1981" s="2">
        <f>ROUND(N1981*0.05,2)</f>
        <v>9924.85</v>
      </c>
      <c r="P1981" s="2">
        <f>N1981+O1981</f>
        <v>208421.86000000002</v>
      </c>
      <c r="Q1981" s="3">
        <v>61</v>
      </c>
      <c r="S1981" s="2">
        <v>38427.360000000001</v>
      </c>
    </row>
    <row r="1982" spans="1:33" x14ac:dyDescent="0.2">
      <c r="M1982"/>
      <c r="N1982"/>
      <c r="O1982"/>
      <c r="P1982"/>
      <c r="Q1982"/>
    </row>
    <row r="1983" spans="1:33" x14ac:dyDescent="0.2">
      <c r="M1983"/>
      <c r="N1983"/>
      <c r="O1983"/>
      <c r="P1983"/>
      <c r="Q1983"/>
    </row>
    <row r="1984" spans="1:33" ht="16.5" x14ac:dyDescent="0.25">
      <c r="A1984" s="29" t="str">
        <f>CONCATENATE("Подраздел: ",IF([1]Source!G1919&lt;&gt;"Новый подраздел", [1]Source!G1919, ""))</f>
        <v>Подраздел: Уход за водоотводными лотками (633,4 п. м)</v>
      </c>
      <c r="B1984" s="29"/>
      <c r="C1984" s="29"/>
      <c r="D1984" s="29"/>
      <c r="E1984" s="29"/>
      <c r="F1984" s="29"/>
      <c r="G1984" s="29"/>
      <c r="H1984" s="29"/>
      <c r="I1984" s="29"/>
      <c r="J1984" s="29"/>
      <c r="K1984" s="29"/>
      <c r="M1984"/>
      <c r="N1984"/>
      <c r="O1984"/>
      <c r="P1984"/>
      <c r="Q1984"/>
    </row>
    <row r="1985" spans="1:33" ht="57" x14ac:dyDescent="0.2">
      <c r="A1985" s="31">
        <v>277</v>
      </c>
      <c r="B1985" s="31" t="str">
        <f>[1]Source!F1923</f>
        <v>5.3-1102-26-1/1</v>
      </c>
      <c r="C1985" s="31" t="str">
        <f>[1]Source!G1923</f>
        <v>Очистка лотков с решетками от снега, сечение лотка 100 см2, количество креплений решеток 20 шт.(сечение 1320 см2)</v>
      </c>
      <c r="D1985" s="32" t="str">
        <f>[1]Source!H1923</f>
        <v>10 м</v>
      </c>
      <c r="E1985" s="4">
        <f>[1]Source!I1923</f>
        <v>33.25</v>
      </c>
      <c r="F1985" s="33"/>
      <c r="G1985" s="34"/>
      <c r="H1985" s="4"/>
      <c r="I1985" s="4"/>
      <c r="J1985" s="33"/>
      <c r="K1985" s="33"/>
      <c r="M1985"/>
      <c r="N1985"/>
      <c r="O1985"/>
      <c r="P1985"/>
      <c r="Q1985"/>
      <c r="AB1985">
        <f>ROUND(([1]Source!BZ1923/100)*ROUND(([1]Source!AF1923*[1]Source!AV1923)*[1]Source!I1923, 2), 2)</f>
        <v>95529.91</v>
      </c>
      <c r="AC1985">
        <f>[1]Source!X1923</f>
        <v>95529.91</v>
      </c>
      <c r="AD1985">
        <f>ROUND(([1]Source!CA1923/100)*ROUND(([1]Source!AF1923*[1]Source!AV1923)*[1]Source!I1923, 2), 2)</f>
        <v>13647.13</v>
      </c>
      <c r="AE1985">
        <f>[1]Source!Y1923</f>
        <v>13647.13</v>
      </c>
      <c r="AF1985">
        <f>ROUND((175/100)*ROUND(([1]Source!AE1923*[1]Source!AV1923)*[1]Source!I1923, 2), 2)</f>
        <v>0</v>
      </c>
      <c r="AG1985">
        <f>ROUND((108/100)*ROUND([1]Source!CS1923*[1]Source!I1923, 2), 2)</f>
        <v>0</v>
      </c>
    </row>
    <row r="1986" spans="1:33" x14ac:dyDescent="0.2">
      <c r="C1986" s="40" t="str">
        <f>"Объем: "&amp;[1]Source!I1923&amp;"=332,5/"&amp;"10"</f>
        <v>Объем: 33,25=332,5/10</v>
      </c>
      <c r="M1986"/>
      <c r="N1986"/>
      <c r="O1986"/>
      <c r="P1986"/>
      <c r="Q1986"/>
    </row>
    <row r="1987" spans="1:33" ht="14.25" x14ac:dyDescent="0.2">
      <c r="A1987" s="31"/>
      <c r="B1987" s="31"/>
      <c r="C1987" s="31" t="s">
        <v>34</v>
      </c>
      <c r="D1987" s="32"/>
      <c r="E1987" s="4"/>
      <c r="F1987" s="33">
        <f>[1]Source!AO1923</f>
        <v>205.22</v>
      </c>
      <c r="G1987" s="34" t="str">
        <f>[1]Source!DG1923</f>
        <v>)*1*20</v>
      </c>
      <c r="H1987" s="4">
        <f>[1]Source!AV1923</f>
        <v>1</v>
      </c>
      <c r="I1987" s="4">
        <f>IF([1]Source!BA1923&lt;&gt; 0, [1]Source!BA1923, 1)</f>
        <v>1</v>
      </c>
      <c r="J1987" s="33">
        <f>[1]Source!S1923</f>
        <v>136471.29999999999</v>
      </c>
      <c r="K1987" s="33"/>
      <c r="M1987"/>
      <c r="N1987"/>
      <c r="O1987"/>
      <c r="P1987"/>
      <c r="Q1987"/>
    </row>
    <row r="1988" spans="1:33" ht="14.25" x14ac:dyDescent="0.2">
      <c r="A1988" s="31"/>
      <c r="B1988" s="31"/>
      <c r="C1988" s="31" t="s">
        <v>40</v>
      </c>
      <c r="D1988" s="32" t="s">
        <v>39</v>
      </c>
      <c r="E1988" s="4">
        <f>[1]Source!AT1923</f>
        <v>70</v>
      </c>
      <c r="F1988" s="33"/>
      <c r="G1988" s="34"/>
      <c r="H1988" s="4"/>
      <c r="I1988" s="4"/>
      <c r="J1988" s="33">
        <f>SUM(AC1985:AC1987)</f>
        <v>95529.91</v>
      </c>
      <c r="K1988" s="33"/>
      <c r="M1988"/>
      <c r="N1988"/>
      <c r="O1988"/>
      <c r="P1988"/>
      <c r="Q1988"/>
    </row>
    <row r="1989" spans="1:33" ht="14.25" x14ac:dyDescent="0.2">
      <c r="A1989" s="31"/>
      <c r="B1989" s="31"/>
      <c r="C1989" s="31" t="s">
        <v>41</v>
      </c>
      <c r="D1989" s="32" t="s">
        <v>39</v>
      </c>
      <c r="E1989" s="4">
        <f>[1]Source!AU1923</f>
        <v>10</v>
      </c>
      <c r="F1989" s="33"/>
      <c r="G1989" s="34"/>
      <c r="H1989" s="4"/>
      <c r="I1989" s="4"/>
      <c r="J1989" s="33">
        <f>SUM(AE1985:AE1988)</f>
        <v>13647.13</v>
      </c>
      <c r="K1989" s="33"/>
      <c r="M1989"/>
      <c r="N1989"/>
      <c r="O1989"/>
      <c r="P1989"/>
      <c r="Q1989"/>
    </row>
    <row r="1990" spans="1:33" ht="14.25" x14ac:dyDescent="0.2">
      <c r="A1990" s="31"/>
      <c r="B1990" s="31"/>
      <c r="C1990" s="31" t="s">
        <v>42</v>
      </c>
      <c r="D1990" s="32" t="s">
        <v>43</v>
      </c>
      <c r="E1990" s="4">
        <f>[1]Source!AQ1923</f>
        <v>0.74</v>
      </c>
      <c r="F1990" s="33"/>
      <c r="G1990" s="34" t="str">
        <f>[1]Source!DI1923</f>
        <v>)*1*20</v>
      </c>
      <c r="H1990" s="4">
        <f>[1]Source!AV1923</f>
        <v>1</v>
      </c>
      <c r="I1990" s="4"/>
      <c r="J1990" s="33"/>
      <c r="K1990" s="33">
        <f>[1]Source!U1923</f>
        <v>492.1</v>
      </c>
      <c r="M1990"/>
      <c r="N1990"/>
      <c r="O1990"/>
      <c r="P1990"/>
      <c r="Q1990"/>
    </row>
    <row r="1991" spans="1:33" ht="15" x14ac:dyDescent="0.25">
      <c r="A1991" s="35"/>
      <c r="B1991" s="35"/>
      <c r="C1991" s="35"/>
      <c r="D1991" s="35"/>
      <c r="E1991" s="35"/>
      <c r="F1991" s="35"/>
      <c r="G1991" s="35"/>
      <c r="H1991" s="35"/>
      <c r="I1991" s="36">
        <f>J1987+J1988+J1989</f>
        <v>245648.34</v>
      </c>
      <c r="J1991" s="36"/>
      <c r="K1991" s="37">
        <f>IF([1]Source!I1923&lt;&gt;0, ROUND(I1991/[1]Source!I1923, 2), 0)</f>
        <v>7387.92</v>
      </c>
      <c r="M1991"/>
      <c r="N1991"/>
      <c r="O1991"/>
      <c r="P1991"/>
      <c r="Q1991"/>
      <c r="AA1991" s="38">
        <f>I1991</f>
        <v>245648.34</v>
      </c>
    </row>
    <row r="1992" spans="1:33" ht="42.75" x14ac:dyDescent="0.2">
      <c r="A1992" s="31">
        <v>278</v>
      </c>
      <c r="B1992" s="31" t="str">
        <f>[1]Source!F1924</f>
        <v>5.3-1102-26-2/1</v>
      </c>
      <c r="C1992" s="31" t="str">
        <f>[1]Source!G1924</f>
        <v>Очистка лотков с решетками от снега, добавлять к 3-1102-26-1 на каждые 100 см2 изменения сечения лотка</v>
      </c>
      <c r="D1992" s="32" t="str">
        <f>[1]Source!H1924</f>
        <v>10 м</v>
      </c>
      <c r="E1992" s="4">
        <f>[1]Source!I1924</f>
        <v>33.25</v>
      </c>
      <c r="F1992" s="33"/>
      <c r="G1992" s="34"/>
      <c r="H1992" s="4"/>
      <c r="I1992" s="4"/>
      <c r="J1992" s="33"/>
      <c r="K1992" s="33"/>
      <c r="M1992"/>
      <c r="N1992"/>
      <c r="O1992"/>
      <c r="P1992"/>
      <c r="Q1992"/>
      <c r="AB1992">
        <f>ROUND(([1]Source!BZ1924/100)*ROUND(([1]Source!AF1924*[1]Source!AV1924)*[1]Source!I1924, 2), 2)</f>
        <v>126019.23</v>
      </c>
      <c r="AC1992">
        <f>[1]Source!X1924</f>
        <v>126019.23</v>
      </c>
      <c r="AD1992">
        <f>ROUND(([1]Source!CA1924/100)*ROUND(([1]Source!AF1924*[1]Source!AV1924)*[1]Source!I1924, 2), 2)</f>
        <v>18002.75</v>
      </c>
      <c r="AE1992">
        <f>[1]Source!Y1924</f>
        <v>18002.75</v>
      </c>
      <c r="AF1992">
        <f>ROUND((175/100)*ROUND(([1]Source!AE1924*[1]Source!AV1924)*[1]Source!I1924, 2), 2)</f>
        <v>0</v>
      </c>
      <c r="AG1992">
        <f>ROUND((108/100)*ROUND([1]Source!CS1924*[1]Source!I1924, 2), 2)</f>
        <v>0</v>
      </c>
    </row>
    <row r="1993" spans="1:33" x14ac:dyDescent="0.2">
      <c r="C1993" s="40" t="str">
        <f>"Объем: "&amp;[1]Source!I1924&amp;"=332,5/"&amp;"10"</f>
        <v>Объем: 33,25=332,5/10</v>
      </c>
      <c r="M1993"/>
      <c r="N1993"/>
      <c r="O1993"/>
      <c r="P1993"/>
      <c r="Q1993"/>
    </row>
    <row r="1994" spans="1:33" ht="14.25" x14ac:dyDescent="0.2">
      <c r="A1994" s="31"/>
      <c r="B1994" s="31"/>
      <c r="C1994" s="31" t="s">
        <v>34</v>
      </c>
      <c r="D1994" s="32"/>
      <c r="E1994" s="4"/>
      <c r="F1994" s="33">
        <f>[1]Source!AO1924</f>
        <v>22.19</v>
      </c>
      <c r="G1994" s="34" t="str">
        <f>[1]Source!DG1924</f>
        <v>)*1*12,2*20</v>
      </c>
      <c r="H1994" s="4">
        <f>[1]Source!AV1924</f>
        <v>1</v>
      </c>
      <c r="I1994" s="4">
        <f>IF([1]Source!BA1924&lt;&gt; 0, [1]Source!BA1924, 1)</f>
        <v>1</v>
      </c>
      <c r="J1994" s="33">
        <f>[1]Source!S1924</f>
        <v>180027.47</v>
      </c>
      <c r="K1994" s="33"/>
      <c r="M1994"/>
      <c r="N1994"/>
      <c r="O1994"/>
      <c r="P1994"/>
      <c r="Q1994"/>
    </row>
    <row r="1995" spans="1:33" ht="14.25" x14ac:dyDescent="0.2">
      <c r="A1995" s="31"/>
      <c r="B1995" s="31"/>
      <c r="C1995" s="31" t="s">
        <v>40</v>
      </c>
      <c r="D1995" s="32" t="s">
        <v>39</v>
      </c>
      <c r="E1995" s="4">
        <f>[1]Source!AT1924</f>
        <v>70</v>
      </c>
      <c r="F1995" s="33"/>
      <c r="G1995" s="34"/>
      <c r="H1995" s="4"/>
      <c r="I1995" s="4"/>
      <c r="J1995" s="33">
        <f>SUM(AC1992:AC1994)</f>
        <v>126019.23</v>
      </c>
      <c r="K1995" s="33"/>
      <c r="M1995"/>
      <c r="N1995"/>
      <c r="O1995"/>
      <c r="P1995"/>
      <c r="Q1995"/>
    </row>
    <row r="1996" spans="1:33" ht="14.25" x14ac:dyDescent="0.2">
      <c r="A1996" s="31"/>
      <c r="B1996" s="31"/>
      <c r="C1996" s="31" t="s">
        <v>41</v>
      </c>
      <c r="D1996" s="32" t="s">
        <v>39</v>
      </c>
      <c r="E1996" s="4">
        <f>[1]Source!AU1924</f>
        <v>10</v>
      </c>
      <c r="F1996" s="33"/>
      <c r="G1996" s="34"/>
      <c r="H1996" s="4"/>
      <c r="I1996" s="4"/>
      <c r="J1996" s="33">
        <f>SUM(AE1992:AE1995)</f>
        <v>18002.75</v>
      </c>
      <c r="K1996" s="33"/>
      <c r="M1996"/>
      <c r="N1996"/>
      <c r="O1996"/>
      <c r="P1996"/>
      <c r="Q1996"/>
    </row>
    <row r="1997" spans="1:33" ht="14.25" x14ac:dyDescent="0.2">
      <c r="A1997" s="31"/>
      <c r="B1997" s="31"/>
      <c r="C1997" s="31" t="s">
        <v>42</v>
      </c>
      <c r="D1997" s="32" t="s">
        <v>43</v>
      </c>
      <c r="E1997" s="4">
        <f>[1]Source!AQ1924</f>
        <v>0.08</v>
      </c>
      <c r="F1997" s="33"/>
      <c r="G1997" s="34" t="str">
        <f>[1]Source!DI1924</f>
        <v>)*1*12,2*20</v>
      </c>
      <c r="H1997" s="4">
        <f>[1]Source!AV1924</f>
        <v>1</v>
      </c>
      <c r="I1997" s="4"/>
      <c r="J1997" s="33"/>
      <c r="K1997" s="33">
        <f>[1]Source!U1924</f>
        <v>649.04</v>
      </c>
      <c r="M1997"/>
      <c r="N1997"/>
      <c r="O1997"/>
      <c r="P1997"/>
      <c r="Q1997"/>
    </row>
    <row r="1998" spans="1:33" ht="15" x14ac:dyDescent="0.25">
      <c r="A1998" s="35"/>
      <c r="B1998" s="35"/>
      <c r="C1998" s="35"/>
      <c r="D1998" s="35"/>
      <c r="E1998" s="35"/>
      <c r="F1998" s="35"/>
      <c r="G1998" s="35"/>
      <c r="H1998" s="35"/>
      <c r="I1998" s="36">
        <f>J1994+J1995+J1996</f>
        <v>324049.45</v>
      </c>
      <c r="J1998" s="36"/>
      <c r="K1998" s="37">
        <f>IF([1]Source!I1924&lt;&gt;0, ROUND(I1998/[1]Source!I1924, 2), 0)</f>
        <v>9745.85</v>
      </c>
      <c r="M1998"/>
      <c r="N1998"/>
      <c r="O1998"/>
      <c r="P1998"/>
      <c r="Q1998"/>
      <c r="AA1998" s="38">
        <f>I1998</f>
        <v>324049.45</v>
      </c>
    </row>
    <row r="1999" spans="1:33" ht="57" x14ac:dyDescent="0.2">
      <c r="A1999" s="31">
        <v>279</v>
      </c>
      <c r="B1999" s="31" t="str">
        <f>[1]Source!F1925</f>
        <v>5.3-1102-26-1/1</v>
      </c>
      <c r="C1999" s="31" t="str">
        <f>[1]Source!G1925</f>
        <v>Очистка лотков с решетками от снега, сечение лотка 100 см2, количество креплений решеток 20 шт.( сечение 340 см2)</v>
      </c>
      <c r="D1999" s="32" t="str">
        <f>[1]Source!H1925</f>
        <v>10 м</v>
      </c>
      <c r="E1999" s="4">
        <f>[1]Source!I1925</f>
        <v>29.75</v>
      </c>
      <c r="F1999" s="33"/>
      <c r="G1999" s="34"/>
      <c r="H1999" s="4"/>
      <c r="I1999" s="4"/>
      <c r="J1999" s="33"/>
      <c r="K1999" s="33"/>
      <c r="M1999"/>
      <c r="N1999"/>
      <c r="O1999"/>
      <c r="P1999"/>
      <c r="Q1999"/>
      <c r="AB1999">
        <f>ROUND(([1]Source!BZ1925/100)*ROUND(([1]Source!AF1925*[1]Source!AV1925)*[1]Source!I1925, 2), 2)</f>
        <v>85474.13</v>
      </c>
      <c r="AC1999">
        <f>[1]Source!X1925</f>
        <v>85474.13</v>
      </c>
      <c r="AD1999">
        <f>ROUND(([1]Source!CA1925/100)*ROUND(([1]Source!AF1925*[1]Source!AV1925)*[1]Source!I1925, 2), 2)</f>
        <v>12210.59</v>
      </c>
      <c r="AE1999">
        <f>[1]Source!Y1925</f>
        <v>12210.59</v>
      </c>
      <c r="AF1999">
        <f>ROUND((175/100)*ROUND(([1]Source!AE1925*[1]Source!AV1925)*[1]Source!I1925, 2), 2)</f>
        <v>0</v>
      </c>
      <c r="AG1999">
        <f>ROUND((108/100)*ROUND([1]Source!CS1925*[1]Source!I1925, 2), 2)</f>
        <v>0</v>
      </c>
    </row>
    <row r="2000" spans="1:33" x14ac:dyDescent="0.2">
      <c r="C2000" s="40" t="str">
        <f>"Объем: "&amp;[1]Source!I1925&amp;"=297,5/"&amp;"10"</f>
        <v>Объем: 29,75=297,5/10</v>
      </c>
      <c r="M2000"/>
      <c r="N2000"/>
      <c r="O2000"/>
      <c r="P2000"/>
      <c r="Q2000"/>
    </row>
    <row r="2001" spans="1:33" ht="14.25" x14ac:dyDescent="0.2">
      <c r="A2001" s="31"/>
      <c r="B2001" s="31"/>
      <c r="C2001" s="31" t="s">
        <v>34</v>
      </c>
      <c r="D2001" s="32"/>
      <c r="E2001" s="4"/>
      <c r="F2001" s="33">
        <f>[1]Source!AO1925</f>
        <v>205.22</v>
      </c>
      <c r="G2001" s="34" t="str">
        <f>[1]Source!DG1925</f>
        <v>)*1*20</v>
      </c>
      <c r="H2001" s="4">
        <f>[1]Source!AV1925</f>
        <v>1</v>
      </c>
      <c r="I2001" s="4">
        <f>IF([1]Source!BA1925&lt;&gt; 0, [1]Source!BA1925, 1)</f>
        <v>1</v>
      </c>
      <c r="J2001" s="33">
        <f>[1]Source!S1925</f>
        <v>122105.9</v>
      </c>
      <c r="K2001" s="33"/>
      <c r="M2001"/>
      <c r="N2001"/>
      <c r="O2001"/>
      <c r="P2001"/>
      <c r="Q2001"/>
    </row>
    <row r="2002" spans="1:33" ht="14.25" x14ac:dyDescent="0.2">
      <c r="A2002" s="31"/>
      <c r="B2002" s="31"/>
      <c r="C2002" s="31" t="s">
        <v>40</v>
      </c>
      <c r="D2002" s="32" t="s">
        <v>39</v>
      </c>
      <c r="E2002" s="4">
        <f>[1]Source!AT1925</f>
        <v>70</v>
      </c>
      <c r="F2002" s="33"/>
      <c r="G2002" s="34"/>
      <c r="H2002" s="4"/>
      <c r="I2002" s="4"/>
      <c r="J2002" s="33">
        <f>SUM(AC1999:AC2001)</f>
        <v>85474.13</v>
      </c>
      <c r="K2002" s="33"/>
      <c r="M2002"/>
      <c r="N2002"/>
      <c r="O2002"/>
      <c r="P2002"/>
      <c r="Q2002"/>
    </row>
    <row r="2003" spans="1:33" ht="14.25" x14ac:dyDescent="0.2">
      <c r="A2003" s="31"/>
      <c r="B2003" s="31"/>
      <c r="C2003" s="31" t="s">
        <v>41</v>
      </c>
      <c r="D2003" s="32" t="s">
        <v>39</v>
      </c>
      <c r="E2003" s="4">
        <f>[1]Source!AU1925</f>
        <v>10</v>
      </c>
      <c r="F2003" s="33"/>
      <c r="G2003" s="34"/>
      <c r="H2003" s="4"/>
      <c r="I2003" s="4"/>
      <c r="J2003" s="33">
        <f>SUM(AE1999:AE2002)</f>
        <v>12210.59</v>
      </c>
      <c r="K2003" s="33"/>
      <c r="M2003"/>
      <c r="N2003"/>
      <c r="O2003"/>
      <c r="P2003"/>
      <c r="Q2003"/>
    </row>
    <row r="2004" spans="1:33" ht="14.25" x14ac:dyDescent="0.2">
      <c r="A2004" s="31"/>
      <c r="B2004" s="31"/>
      <c r="C2004" s="31" t="s">
        <v>42</v>
      </c>
      <c r="D2004" s="32" t="s">
        <v>43</v>
      </c>
      <c r="E2004" s="4">
        <f>[1]Source!AQ1925</f>
        <v>0.74</v>
      </c>
      <c r="F2004" s="33"/>
      <c r="G2004" s="34" t="str">
        <f>[1]Source!DI1925</f>
        <v>)*1*20</v>
      </c>
      <c r="H2004" s="4">
        <f>[1]Source!AV1925</f>
        <v>1</v>
      </c>
      <c r="I2004" s="4"/>
      <c r="J2004" s="33"/>
      <c r="K2004" s="33">
        <f>[1]Source!U1925</f>
        <v>440.3</v>
      </c>
      <c r="M2004"/>
      <c r="N2004"/>
      <c r="O2004"/>
      <c r="P2004"/>
      <c r="Q2004"/>
    </row>
    <row r="2005" spans="1:33" ht="15" x14ac:dyDescent="0.25">
      <c r="A2005" s="35"/>
      <c r="B2005" s="35"/>
      <c r="C2005" s="35"/>
      <c r="D2005" s="35"/>
      <c r="E2005" s="35"/>
      <c r="F2005" s="35"/>
      <c r="G2005" s="35"/>
      <c r="H2005" s="35"/>
      <c r="I2005" s="36">
        <f>J2001+J2002+J2003</f>
        <v>219790.62</v>
      </c>
      <c r="J2005" s="36"/>
      <c r="K2005" s="37">
        <f>IF([1]Source!I1925&lt;&gt;0, ROUND(I2005/[1]Source!I1925, 2), 0)</f>
        <v>7387.92</v>
      </c>
      <c r="M2005"/>
      <c r="N2005"/>
      <c r="O2005"/>
      <c r="P2005"/>
      <c r="Q2005"/>
      <c r="AA2005" s="38">
        <f>I2005</f>
        <v>219790.62</v>
      </c>
    </row>
    <row r="2006" spans="1:33" ht="42.75" x14ac:dyDescent="0.2">
      <c r="A2006" s="31">
        <v>280</v>
      </c>
      <c r="B2006" s="31" t="str">
        <f>[1]Source!F1926</f>
        <v>5.3-1102-26-2/1</v>
      </c>
      <c r="C2006" s="31" t="str">
        <f>[1]Source!G1926</f>
        <v>Очистка лотков с решетками от снега, добавлять к 3-1102-26-1 на каждые 100 см2 изменения сечения лотка</v>
      </c>
      <c r="D2006" s="32" t="str">
        <f>[1]Source!H1926</f>
        <v>10 м</v>
      </c>
      <c r="E2006" s="4">
        <f>[1]Source!I1926</f>
        <v>29.75</v>
      </c>
      <c r="F2006" s="33"/>
      <c r="G2006" s="34"/>
      <c r="H2006" s="4"/>
      <c r="I2006" s="4"/>
      <c r="J2006" s="33"/>
      <c r="K2006" s="33"/>
      <c r="M2006"/>
      <c r="N2006"/>
      <c r="O2006"/>
      <c r="P2006"/>
      <c r="Q2006"/>
      <c r="AB2006">
        <f>ROUND(([1]Source!BZ1926/100)*ROUND(([1]Source!AF1926*[1]Source!AV1926)*[1]Source!I1926, 2), 2)</f>
        <v>22181.119999999999</v>
      </c>
      <c r="AC2006">
        <f>[1]Source!X1926</f>
        <v>22181.119999999999</v>
      </c>
      <c r="AD2006">
        <f>ROUND(([1]Source!CA1926/100)*ROUND(([1]Source!AF1926*[1]Source!AV1926)*[1]Source!I1926, 2), 2)</f>
        <v>3168.73</v>
      </c>
      <c r="AE2006">
        <f>[1]Source!Y1926</f>
        <v>3168.73</v>
      </c>
      <c r="AF2006">
        <f>ROUND((175/100)*ROUND(([1]Source!AE1926*[1]Source!AV1926)*[1]Source!I1926, 2), 2)</f>
        <v>0</v>
      </c>
      <c r="AG2006">
        <f>ROUND((108/100)*ROUND([1]Source!CS1926*[1]Source!I1926, 2), 2)</f>
        <v>0</v>
      </c>
    </row>
    <row r="2007" spans="1:33" x14ac:dyDescent="0.2">
      <c r="C2007" s="40" t="str">
        <f>"Объем: "&amp;[1]Source!I1926&amp;"=297,5/"&amp;"10"</f>
        <v>Объем: 29,75=297,5/10</v>
      </c>
      <c r="M2007"/>
      <c r="N2007"/>
      <c r="O2007"/>
      <c r="P2007"/>
      <c r="Q2007"/>
    </row>
    <row r="2008" spans="1:33" ht="14.25" x14ac:dyDescent="0.2">
      <c r="A2008" s="31"/>
      <c r="B2008" s="31"/>
      <c r="C2008" s="31" t="s">
        <v>34</v>
      </c>
      <c r="D2008" s="32"/>
      <c r="E2008" s="4"/>
      <c r="F2008" s="33">
        <f>[1]Source!AO1926</f>
        <v>22.19</v>
      </c>
      <c r="G2008" s="34" t="str">
        <f>[1]Source!DG1926</f>
        <v>)*1*2,4*20</v>
      </c>
      <c r="H2008" s="4">
        <f>[1]Source!AV1926</f>
        <v>1</v>
      </c>
      <c r="I2008" s="4">
        <f>IF([1]Source!BA1926&lt;&gt; 0, [1]Source!BA1926, 1)</f>
        <v>1</v>
      </c>
      <c r="J2008" s="33">
        <f>[1]Source!S1926</f>
        <v>31687.32</v>
      </c>
      <c r="K2008" s="33"/>
      <c r="M2008"/>
      <c r="N2008"/>
      <c r="O2008"/>
      <c r="P2008"/>
      <c r="Q2008"/>
    </row>
    <row r="2009" spans="1:33" ht="14.25" x14ac:dyDescent="0.2">
      <c r="A2009" s="31"/>
      <c r="B2009" s="31"/>
      <c r="C2009" s="31" t="s">
        <v>40</v>
      </c>
      <c r="D2009" s="32" t="s">
        <v>39</v>
      </c>
      <c r="E2009" s="4">
        <f>[1]Source!AT1926</f>
        <v>70</v>
      </c>
      <c r="F2009" s="33"/>
      <c r="G2009" s="34"/>
      <c r="H2009" s="4"/>
      <c r="I2009" s="4"/>
      <c r="J2009" s="33">
        <f>SUM(AC2006:AC2008)</f>
        <v>22181.119999999999</v>
      </c>
      <c r="K2009" s="33"/>
      <c r="M2009"/>
      <c r="N2009"/>
      <c r="O2009"/>
      <c r="P2009"/>
      <c r="Q2009"/>
    </row>
    <row r="2010" spans="1:33" ht="14.25" x14ac:dyDescent="0.2">
      <c r="A2010" s="31"/>
      <c r="B2010" s="31"/>
      <c r="C2010" s="31" t="s">
        <v>41</v>
      </c>
      <c r="D2010" s="32" t="s">
        <v>39</v>
      </c>
      <c r="E2010" s="4">
        <f>[1]Source!AU1926</f>
        <v>10</v>
      </c>
      <c r="F2010" s="33"/>
      <c r="G2010" s="34"/>
      <c r="H2010" s="4"/>
      <c r="I2010" s="4"/>
      <c r="J2010" s="33">
        <f>SUM(AE2006:AE2009)</f>
        <v>3168.73</v>
      </c>
      <c r="K2010" s="33"/>
      <c r="M2010"/>
      <c r="N2010"/>
      <c r="O2010"/>
      <c r="P2010"/>
      <c r="Q2010"/>
    </row>
    <row r="2011" spans="1:33" ht="14.25" x14ac:dyDescent="0.2">
      <c r="A2011" s="31"/>
      <c r="B2011" s="31"/>
      <c r="C2011" s="31" t="s">
        <v>42</v>
      </c>
      <c r="D2011" s="32" t="s">
        <v>43</v>
      </c>
      <c r="E2011" s="4">
        <f>[1]Source!AQ1926</f>
        <v>0.08</v>
      </c>
      <c r="F2011" s="33"/>
      <c r="G2011" s="34" t="str">
        <f>[1]Source!DI1926</f>
        <v>)*1*2,4*20</v>
      </c>
      <c r="H2011" s="4">
        <f>[1]Source!AV1926</f>
        <v>1</v>
      </c>
      <c r="I2011" s="4"/>
      <c r="J2011" s="33"/>
      <c r="K2011" s="33">
        <f>[1]Source!U1926</f>
        <v>114.24</v>
      </c>
      <c r="M2011"/>
      <c r="N2011"/>
      <c r="O2011"/>
      <c r="P2011"/>
      <c r="Q2011"/>
    </row>
    <row r="2012" spans="1:33" ht="15" x14ac:dyDescent="0.25">
      <c r="A2012" s="35"/>
      <c r="B2012" s="35"/>
      <c r="C2012" s="35"/>
      <c r="D2012" s="35"/>
      <c r="E2012" s="35"/>
      <c r="F2012" s="35"/>
      <c r="G2012" s="35"/>
      <c r="H2012" s="35"/>
      <c r="I2012" s="36">
        <f>J2008+J2009+J2010</f>
        <v>57037.170000000006</v>
      </c>
      <c r="J2012" s="36"/>
      <c r="K2012" s="37">
        <f>IF([1]Source!I1926&lt;&gt;0, ROUND(I2012/[1]Source!I1926, 2), 0)</f>
        <v>1917.22</v>
      </c>
      <c r="M2012"/>
      <c r="N2012"/>
      <c r="O2012"/>
      <c r="P2012"/>
      <c r="Q2012"/>
      <c r="AA2012" s="38">
        <f>I2012</f>
        <v>57037.170000000006</v>
      </c>
    </row>
    <row r="2013" spans="1:33" ht="57" x14ac:dyDescent="0.2">
      <c r="A2013" s="31">
        <v>281</v>
      </c>
      <c r="B2013" s="31" t="str">
        <f>[1]Source!F1927</f>
        <v>5.3-1102-26-1/1</v>
      </c>
      <c r="C2013" s="31" t="str">
        <f>[1]Source!G1927</f>
        <v>Очистка лотков с решетками от снега, сечение лотка 100 см2, количество креплений решеток 20 шт.(сечение 120 см2)</v>
      </c>
      <c r="D2013" s="32" t="str">
        <f>[1]Source!H1927</f>
        <v>10 м</v>
      </c>
      <c r="E2013" s="4">
        <f>[1]Source!I1927</f>
        <v>0.34</v>
      </c>
      <c r="F2013" s="33"/>
      <c r="G2013" s="34"/>
      <c r="H2013" s="4"/>
      <c r="I2013" s="4"/>
      <c r="J2013" s="33"/>
      <c r="K2013" s="33"/>
      <c r="M2013"/>
      <c r="N2013"/>
      <c r="O2013"/>
      <c r="P2013"/>
      <c r="Q2013"/>
      <c r="AB2013">
        <f>ROUND(([1]Source!BZ1927/100)*ROUND(([1]Source!AF1927*[1]Source!AV1927)*[1]Source!I1927, 2), 2)</f>
        <v>976.85</v>
      </c>
      <c r="AC2013">
        <f>[1]Source!X1927</f>
        <v>976.85</v>
      </c>
      <c r="AD2013">
        <f>ROUND(([1]Source!CA1927/100)*ROUND(([1]Source!AF1927*[1]Source!AV1927)*[1]Source!I1927, 2), 2)</f>
        <v>139.55000000000001</v>
      </c>
      <c r="AE2013">
        <f>[1]Source!Y1927</f>
        <v>139.55000000000001</v>
      </c>
      <c r="AF2013">
        <f>ROUND((175/100)*ROUND(([1]Source!AE1927*[1]Source!AV1927)*[1]Source!I1927, 2), 2)</f>
        <v>0</v>
      </c>
      <c r="AG2013">
        <f>ROUND((108/100)*ROUND([1]Source!CS1927*[1]Source!I1927, 2), 2)</f>
        <v>0</v>
      </c>
    </row>
    <row r="2014" spans="1:33" x14ac:dyDescent="0.2">
      <c r="C2014" s="40" t="str">
        <f>"Объем: "&amp;[1]Source!I1927&amp;"=3,4/"&amp;"10"</f>
        <v>Объем: 0,34=3,4/10</v>
      </c>
      <c r="M2014"/>
      <c r="N2014"/>
      <c r="O2014"/>
      <c r="P2014"/>
      <c r="Q2014"/>
    </row>
    <row r="2015" spans="1:33" ht="14.25" x14ac:dyDescent="0.2">
      <c r="A2015" s="31"/>
      <c r="B2015" s="31"/>
      <c r="C2015" s="31" t="s">
        <v>34</v>
      </c>
      <c r="D2015" s="32"/>
      <c r="E2015" s="4"/>
      <c r="F2015" s="33">
        <f>[1]Source!AO1927</f>
        <v>205.22</v>
      </c>
      <c r="G2015" s="34" t="str">
        <f>[1]Source!DG1927</f>
        <v>)*1*20</v>
      </c>
      <c r="H2015" s="4">
        <f>[1]Source!AV1927</f>
        <v>1</v>
      </c>
      <c r="I2015" s="4">
        <f>IF([1]Source!BA1927&lt;&gt; 0, [1]Source!BA1927, 1)</f>
        <v>1</v>
      </c>
      <c r="J2015" s="33">
        <f>[1]Source!S1927</f>
        <v>1395.5</v>
      </c>
      <c r="K2015" s="33"/>
      <c r="M2015"/>
      <c r="N2015"/>
      <c r="O2015"/>
      <c r="P2015"/>
      <c r="Q2015"/>
    </row>
    <row r="2016" spans="1:33" ht="14.25" x14ac:dyDescent="0.2">
      <c r="A2016" s="31"/>
      <c r="B2016" s="31"/>
      <c r="C2016" s="31" t="s">
        <v>40</v>
      </c>
      <c r="D2016" s="32" t="s">
        <v>39</v>
      </c>
      <c r="E2016" s="4">
        <f>[1]Source!AT1927</f>
        <v>70</v>
      </c>
      <c r="F2016" s="33"/>
      <c r="G2016" s="34"/>
      <c r="H2016" s="4"/>
      <c r="I2016" s="4"/>
      <c r="J2016" s="33">
        <f>SUM(AC2013:AC2015)</f>
        <v>976.85</v>
      </c>
      <c r="K2016" s="33"/>
      <c r="M2016"/>
      <c r="N2016"/>
      <c r="O2016"/>
      <c r="P2016"/>
      <c r="Q2016"/>
    </row>
    <row r="2017" spans="1:33" ht="14.25" x14ac:dyDescent="0.2">
      <c r="A2017" s="31"/>
      <c r="B2017" s="31"/>
      <c r="C2017" s="31" t="s">
        <v>41</v>
      </c>
      <c r="D2017" s="32" t="s">
        <v>39</v>
      </c>
      <c r="E2017" s="4">
        <f>[1]Source!AU1927</f>
        <v>10</v>
      </c>
      <c r="F2017" s="33"/>
      <c r="G2017" s="34"/>
      <c r="H2017" s="4"/>
      <c r="I2017" s="4"/>
      <c r="J2017" s="33">
        <f>SUM(AE2013:AE2016)</f>
        <v>139.55000000000001</v>
      </c>
      <c r="K2017" s="33"/>
      <c r="M2017"/>
      <c r="N2017"/>
      <c r="O2017"/>
      <c r="P2017"/>
      <c r="Q2017"/>
    </row>
    <row r="2018" spans="1:33" ht="14.25" x14ac:dyDescent="0.2">
      <c r="A2018" s="31"/>
      <c r="B2018" s="31"/>
      <c r="C2018" s="31" t="s">
        <v>42</v>
      </c>
      <c r="D2018" s="32" t="s">
        <v>43</v>
      </c>
      <c r="E2018" s="4">
        <f>[1]Source!AQ1927</f>
        <v>0.74</v>
      </c>
      <c r="F2018" s="33"/>
      <c r="G2018" s="34" t="str">
        <f>[1]Source!DI1927</f>
        <v>)*1*20</v>
      </c>
      <c r="H2018" s="4">
        <f>[1]Source!AV1927</f>
        <v>1</v>
      </c>
      <c r="I2018" s="4"/>
      <c r="J2018" s="33"/>
      <c r="K2018" s="33">
        <f>[1]Source!U1927</f>
        <v>5.0320000000000009</v>
      </c>
      <c r="M2018"/>
      <c r="N2018"/>
      <c r="O2018"/>
      <c r="P2018"/>
      <c r="Q2018"/>
    </row>
    <row r="2019" spans="1:33" ht="15" x14ac:dyDescent="0.25">
      <c r="A2019" s="35"/>
      <c r="B2019" s="35"/>
      <c r="C2019" s="35"/>
      <c r="D2019" s="35"/>
      <c r="E2019" s="35"/>
      <c r="F2019" s="35"/>
      <c r="G2019" s="35"/>
      <c r="H2019" s="35"/>
      <c r="I2019" s="36">
        <f>J2015+J2016+J2017</f>
        <v>2511.9</v>
      </c>
      <c r="J2019" s="36"/>
      <c r="K2019" s="37">
        <f>IF([1]Source!I1927&lt;&gt;0, ROUND(I2019/[1]Source!I1927, 2), 0)</f>
        <v>7387.94</v>
      </c>
      <c r="M2019"/>
      <c r="N2019"/>
      <c r="O2019"/>
      <c r="P2019"/>
      <c r="Q2019"/>
      <c r="AA2019" s="38">
        <f>I2019</f>
        <v>2511.9</v>
      </c>
    </row>
    <row r="2020" spans="1:33" ht="42.75" x14ac:dyDescent="0.2">
      <c r="A2020" s="31">
        <v>282</v>
      </c>
      <c r="B2020" s="31" t="str">
        <f>[1]Source!F1928</f>
        <v>5.3-1102-26-2/1</v>
      </c>
      <c r="C2020" s="31" t="str">
        <f>[1]Source!G1928</f>
        <v>Очистка лотков с решетками от снега, добавлять к 3-1102-26-1 на каждые 100 см2 изменения сечения лотка</v>
      </c>
      <c r="D2020" s="32" t="str">
        <f>[1]Source!H1928</f>
        <v>10 м</v>
      </c>
      <c r="E2020" s="4">
        <f>[1]Source!I1928</f>
        <v>0.34</v>
      </c>
      <c r="F2020" s="33"/>
      <c r="G2020" s="34"/>
      <c r="H2020" s="4"/>
      <c r="I2020" s="4"/>
      <c r="J2020" s="33"/>
      <c r="K2020" s="33"/>
      <c r="M2020"/>
      <c r="N2020"/>
      <c r="O2020"/>
      <c r="P2020"/>
      <c r="Q2020"/>
      <c r="AB2020">
        <f>ROUND(([1]Source!BZ1928/100)*ROUND(([1]Source!AF1928*[1]Source!AV1928)*[1]Source!I1928, 2), 2)</f>
        <v>21.13</v>
      </c>
      <c r="AC2020">
        <f>[1]Source!X1928</f>
        <v>21.13</v>
      </c>
      <c r="AD2020">
        <f>ROUND(([1]Source!CA1928/100)*ROUND(([1]Source!AF1928*[1]Source!AV1928)*[1]Source!I1928, 2), 2)</f>
        <v>3.02</v>
      </c>
      <c r="AE2020">
        <f>[1]Source!Y1928</f>
        <v>3.02</v>
      </c>
      <c r="AF2020">
        <f>ROUND((175/100)*ROUND(([1]Source!AE1928*[1]Source!AV1928)*[1]Source!I1928, 2), 2)</f>
        <v>0</v>
      </c>
      <c r="AG2020">
        <f>ROUND((108/100)*ROUND([1]Source!CS1928*[1]Source!I1928, 2), 2)</f>
        <v>0</v>
      </c>
    </row>
    <row r="2021" spans="1:33" x14ac:dyDescent="0.2">
      <c r="C2021" s="40" t="str">
        <f>"Объем: "&amp;[1]Source!I1928&amp;"=3,4/"&amp;"10"</f>
        <v>Объем: 0,34=3,4/10</v>
      </c>
      <c r="M2021"/>
      <c r="N2021"/>
      <c r="O2021"/>
      <c r="P2021"/>
      <c r="Q2021"/>
    </row>
    <row r="2022" spans="1:33" ht="14.25" x14ac:dyDescent="0.2">
      <c r="A2022" s="31"/>
      <c r="B2022" s="31"/>
      <c r="C2022" s="31" t="s">
        <v>34</v>
      </c>
      <c r="D2022" s="32"/>
      <c r="E2022" s="4"/>
      <c r="F2022" s="33">
        <f>[1]Source!AO1928</f>
        <v>22.19</v>
      </c>
      <c r="G2022" s="34" t="str">
        <f>[1]Source!DG1928</f>
        <v>)*1*0,2*20</v>
      </c>
      <c r="H2022" s="4">
        <f>[1]Source!AV1928</f>
        <v>1</v>
      </c>
      <c r="I2022" s="4">
        <f>IF([1]Source!BA1928&lt;&gt; 0, [1]Source!BA1928, 1)</f>
        <v>1</v>
      </c>
      <c r="J2022" s="33">
        <f>[1]Source!S1928</f>
        <v>30.18</v>
      </c>
      <c r="K2022" s="33"/>
      <c r="M2022"/>
      <c r="N2022"/>
      <c r="O2022"/>
      <c r="P2022"/>
      <c r="Q2022"/>
    </row>
    <row r="2023" spans="1:33" ht="14.25" x14ac:dyDescent="0.2">
      <c r="A2023" s="31"/>
      <c r="B2023" s="31"/>
      <c r="C2023" s="31" t="s">
        <v>40</v>
      </c>
      <c r="D2023" s="32" t="s">
        <v>39</v>
      </c>
      <c r="E2023" s="4">
        <f>[1]Source!AT1928</f>
        <v>70</v>
      </c>
      <c r="F2023" s="33"/>
      <c r="G2023" s="34"/>
      <c r="H2023" s="4"/>
      <c r="I2023" s="4"/>
      <c r="J2023" s="33">
        <f>SUM(AC2020:AC2022)</f>
        <v>21.13</v>
      </c>
      <c r="K2023" s="33"/>
      <c r="M2023"/>
      <c r="N2023"/>
      <c r="O2023"/>
      <c r="P2023"/>
      <c r="Q2023"/>
    </row>
    <row r="2024" spans="1:33" ht="14.25" x14ac:dyDescent="0.2">
      <c r="A2024" s="31"/>
      <c r="B2024" s="31"/>
      <c r="C2024" s="31" t="s">
        <v>41</v>
      </c>
      <c r="D2024" s="32" t="s">
        <v>39</v>
      </c>
      <c r="E2024" s="4">
        <f>[1]Source!AU1928</f>
        <v>10</v>
      </c>
      <c r="F2024" s="33"/>
      <c r="G2024" s="34"/>
      <c r="H2024" s="4"/>
      <c r="I2024" s="4"/>
      <c r="J2024" s="33">
        <f>SUM(AE2020:AE2023)</f>
        <v>3.02</v>
      </c>
      <c r="K2024" s="33"/>
      <c r="M2024"/>
      <c r="N2024"/>
      <c r="O2024"/>
      <c r="P2024"/>
      <c r="Q2024"/>
    </row>
    <row r="2025" spans="1:33" ht="14.25" x14ac:dyDescent="0.2">
      <c r="A2025" s="31"/>
      <c r="B2025" s="31"/>
      <c r="C2025" s="31" t="s">
        <v>42</v>
      </c>
      <c r="D2025" s="32" t="s">
        <v>43</v>
      </c>
      <c r="E2025" s="4">
        <f>[1]Source!AQ1928</f>
        <v>0.08</v>
      </c>
      <c r="F2025" s="33"/>
      <c r="G2025" s="34" t="str">
        <f>[1]Source!DI1928</f>
        <v>)*1*0,2*20</v>
      </c>
      <c r="H2025" s="4">
        <f>[1]Source!AV1928</f>
        <v>1</v>
      </c>
      <c r="I2025" s="4"/>
      <c r="J2025" s="33"/>
      <c r="K2025" s="33">
        <f>[1]Source!U1928</f>
        <v>0.10880000000000001</v>
      </c>
      <c r="M2025"/>
      <c r="N2025"/>
      <c r="O2025"/>
      <c r="P2025"/>
      <c r="Q2025"/>
    </row>
    <row r="2026" spans="1:33" ht="15" x14ac:dyDescent="0.25">
      <c r="A2026" s="35"/>
      <c r="B2026" s="35"/>
      <c r="C2026" s="35"/>
      <c r="D2026" s="35"/>
      <c r="E2026" s="35"/>
      <c r="F2026" s="35"/>
      <c r="G2026" s="35"/>
      <c r="H2026" s="35"/>
      <c r="I2026" s="36">
        <f>J2022+J2023+J2024</f>
        <v>54.330000000000005</v>
      </c>
      <c r="J2026" s="36"/>
      <c r="K2026" s="37">
        <f>IF([1]Source!I1928&lt;&gt;0, ROUND(I2026/[1]Source!I1928, 2), 0)</f>
        <v>159.79</v>
      </c>
      <c r="M2026"/>
      <c r="N2026"/>
      <c r="O2026"/>
      <c r="P2026"/>
      <c r="Q2026"/>
      <c r="AA2026" s="38">
        <f>I2026</f>
        <v>54.330000000000005</v>
      </c>
    </row>
    <row r="2027" spans="1:33" ht="42.75" x14ac:dyDescent="0.2">
      <c r="A2027" s="31">
        <v>283</v>
      </c>
      <c r="B2027" s="31" t="str">
        <f>[1]Source!F1929</f>
        <v>5.3-1102-26-3/1</v>
      </c>
      <c r="C2027" s="31" t="str">
        <f>[1]Source!G1929</f>
        <v>Очистка лотков с решетками от снега, добавлять к 3-1102-26-1 на каждые 10 креплений решеток</v>
      </c>
      <c r="D2027" s="32" t="str">
        <f>[1]Source!H1929</f>
        <v>10 шт.</v>
      </c>
      <c r="E2027" s="4">
        <f>[1]Source!I1929</f>
        <v>33.200000000000003</v>
      </c>
      <c r="F2027" s="33"/>
      <c r="G2027" s="34"/>
      <c r="H2027" s="4"/>
      <c r="I2027" s="4"/>
      <c r="J2027" s="33"/>
      <c r="K2027" s="33"/>
      <c r="M2027"/>
      <c r="N2027"/>
      <c r="O2027"/>
      <c r="P2027"/>
      <c r="Q2027"/>
      <c r="AB2027">
        <f>ROUND(([1]Source!BZ1929/100)*ROUND(([1]Source!AF1929*[1]Source!AV1929)*[1]Source!I1929, 2), 2)</f>
        <v>21910.67</v>
      </c>
      <c r="AC2027">
        <f>[1]Source!X1929</f>
        <v>21910.67</v>
      </c>
      <c r="AD2027">
        <f>ROUND(([1]Source!CA1929/100)*ROUND(([1]Source!AF1929*[1]Source!AV1929)*[1]Source!I1929, 2), 2)</f>
        <v>3130.1</v>
      </c>
      <c r="AE2027">
        <f>[1]Source!Y1929</f>
        <v>3130.1</v>
      </c>
      <c r="AF2027">
        <f>ROUND((175/100)*ROUND(([1]Source!AE1929*[1]Source!AV1929)*[1]Source!I1929, 2), 2)</f>
        <v>0</v>
      </c>
      <c r="AG2027">
        <f>ROUND((108/100)*ROUND([1]Source!CS1929*[1]Source!I1929, 2), 2)</f>
        <v>0</v>
      </c>
    </row>
    <row r="2028" spans="1:33" x14ac:dyDescent="0.2">
      <c r="C2028" s="40" t="str">
        <f>"Объем: "&amp;[1]Source!I1929&amp;"=332/"&amp;"10"</f>
        <v>Объем: 33,2=332/10</v>
      </c>
      <c r="M2028"/>
      <c r="N2028"/>
      <c r="O2028"/>
      <c r="P2028"/>
      <c r="Q2028"/>
    </row>
    <row r="2029" spans="1:33" ht="14.25" x14ac:dyDescent="0.2">
      <c r="A2029" s="31"/>
      <c r="B2029" s="31"/>
      <c r="C2029" s="31" t="s">
        <v>34</v>
      </c>
      <c r="D2029" s="32"/>
      <c r="E2029" s="4"/>
      <c r="F2029" s="33">
        <f>[1]Source!AO1929</f>
        <v>47.14</v>
      </c>
      <c r="G2029" s="34" t="str">
        <f>[1]Source!DG1929</f>
        <v>)*1*20</v>
      </c>
      <c r="H2029" s="4">
        <f>[1]Source!AV1929</f>
        <v>1</v>
      </c>
      <c r="I2029" s="4">
        <f>IF([1]Source!BA1929&lt;&gt; 0, [1]Source!BA1929, 1)</f>
        <v>1</v>
      </c>
      <c r="J2029" s="33">
        <f>[1]Source!S1929</f>
        <v>31300.959999999999</v>
      </c>
      <c r="K2029" s="33"/>
      <c r="M2029"/>
      <c r="N2029"/>
      <c r="O2029"/>
      <c r="P2029"/>
      <c r="Q2029"/>
    </row>
    <row r="2030" spans="1:33" ht="14.25" x14ac:dyDescent="0.2">
      <c r="A2030" s="31"/>
      <c r="B2030" s="31"/>
      <c r="C2030" s="31" t="s">
        <v>40</v>
      </c>
      <c r="D2030" s="32" t="s">
        <v>39</v>
      </c>
      <c r="E2030" s="4">
        <f>[1]Source!AT1929</f>
        <v>70</v>
      </c>
      <c r="F2030" s="33"/>
      <c r="G2030" s="34"/>
      <c r="H2030" s="4"/>
      <c r="I2030" s="4"/>
      <c r="J2030" s="33">
        <f>SUM(AC2027:AC2029)</f>
        <v>21910.67</v>
      </c>
      <c r="K2030" s="33"/>
      <c r="M2030"/>
      <c r="N2030"/>
      <c r="O2030"/>
      <c r="P2030"/>
      <c r="Q2030"/>
    </row>
    <row r="2031" spans="1:33" ht="14.25" x14ac:dyDescent="0.2">
      <c r="A2031" s="31"/>
      <c r="B2031" s="31"/>
      <c r="C2031" s="31" t="s">
        <v>41</v>
      </c>
      <c r="D2031" s="32" t="s">
        <v>39</v>
      </c>
      <c r="E2031" s="4">
        <f>[1]Source!AU1929</f>
        <v>10</v>
      </c>
      <c r="F2031" s="33"/>
      <c r="G2031" s="34"/>
      <c r="H2031" s="4"/>
      <c r="I2031" s="4"/>
      <c r="J2031" s="33">
        <f>SUM(AE2027:AE2030)</f>
        <v>3130.1</v>
      </c>
      <c r="K2031" s="33"/>
      <c r="M2031"/>
      <c r="N2031"/>
      <c r="O2031"/>
      <c r="P2031"/>
      <c r="Q2031"/>
    </row>
    <row r="2032" spans="1:33" ht="14.25" x14ac:dyDescent="0.2">
      <c r="A2032" s="31"/>
      <c r="B2032" s="31"/>
      <c r="C2032" s="31" t="s">
        <v>42</v>
      </c>
      <c r="D2032" s="32" t="s">
        <v>43</v>
      </c>
      <c r="E2032" s="4">
        <f>[1]Source!AQ1929</f>
        <v>0.17</v>
      </c>
      <c r="F2032" s="33"/>
      <c r="G2032" s="34" t="str">
        <f>[1]Source!DI1929</f>
        <v>)*1*20</v>
      </c>
      <c r="H2032" s="4">
        <f>[1]Source!AV1929</f>
        <v>1</v>
      </c>
      <c r="I2032" s="4"/>
      <c r="J2032" s="33"/>
      <c r="K2032" s="33">
        <f>[1]Source!U1929</f>
        <v>112.88000000000002</v>
      </c>
      <c r="M2032"/>
      <c r="N2032"/>
      <c r="O2032"/>
      <c r="P2032"/>
      <c r="Q2032"/>
    </row>
    <row r="2033" spans="1:33" ht="15" x14ac:dyDescent="0.25">
      <c r="A2033" s="35"/>
      <c r="B2033" s="35"/>
      <c r="C2033" s="35"/>
      <c r="D2033" s="35"/>
      <c r="E2033" s="35"/>
      <c r="F2033" s="35"/>
      <c r="G2033" s="35"/>
      <c r="H2033" s="35"/>
      <c r="I2033" s="36">
        <f>J2029+J2030+J2031</f>
        <v>56341.729999999996</v>
      </c>
      <c r="J2033" s="36"/>
      <c r="K2033" s="37">
        <f>IF([1]Source!I1929&lt;&gt;0, ROUND(I2033/[1]Source!I1929, 2), 0)</f>
        <v>1697.04</v>
      </c>
      <c r="M2033"/>
      <c r="N2033"/>
      <c r="O2033"/>
      <c r="P2033"/>
      <c r="Q2033"/>
      <c r="AA2033" s="38">
        <f>I2033</f>
        <v>56341.729999999996</v>
      </c>
    </row>
    <row r="2034" spans="1:33" ht="57" x14ac:dyDescent="0.2">
      <c r="A2034" s="31">
        <v>284</v>
      </c>
      <c r="B2034" s="31" t="str">
        <f>[1]Source!F1930</f>
        <v>5.3-1102-27-1/1</v>
      </c>
      <c r="C2034" s="31" t="str">
        <f>[1]Source!G1930</f>
        <v>Очистка лотков с решетками от наледи, сечение лотка 100 см2, количество креплений решеток 20 шт.( сечение 1320 см2)</v>
      </c>
      <c r="D2034" s="32" t="str">
        <f>[1]Source!H1930</f>
        <v>10 м</v>
      </c>
      <c r="E2034" s="4">
        <f>[1]Source!I1930</f>
        <v>33.25</v>
      </c>
      <c r="F2034" s="33"/>
      <c r="G2034" s="34"/>
      <c r="H2034" s="4"/>
      <c r="I2034" s="4"/>
      <c r="J2034" s="33"/>
      <c r="K2034" s="33"/>
      <c r="M2034"/>
      <c r="N2034"/>
      <c r="O2034"/>
      <c r="P2034"/>
      <c r="Q2034"/>
      <c r="AB2034">
        <f>ROUND(([1]Source!BZ1930/100)*ROUND(([1]Source!AF1930*[1]Source!AV1930)*[1]Source!I1930, 2), 2)</f>
        <v>216876.45</v>
      </c>
      <c r="AC2034">
        <f>[1]Source!X1930</f>
        <v>216876.45</v>
      </c>
      <c r="AD2034">
        <f>ROUND(([1]Source!CA1930/100)*ROUND(([1]Source!AF1930*[1]Source!AV1930)*[1]Source!I1930, 2), 2)</f>
        <v>30982.35</v>
      </c>
      <c r="AE2034">
        <f>[1]Source!Y1930</f>
        <v>30982.35</v>
      </c>
      <c r="AF2034">
        <f>ROUND((175/100)*ROUND(([1]Source!AE1930*[1]Source!AV1930)*[1]Source!I1930, 2), 2)</f>
        <v>0</v>
      </c>
      <c r="AG2034">
        <f>ROUND((108/100)*ROUND([1]Source!CS1930*[1]Source!I1930, 2), 2)</f>
        <v>0</v>
      </c>
    </row>
    <row r="2035" spans="1:33" x14ac:dyDescent="0.2">
      <c r="C2035" s="40" t="str">
        <f>"Объем: "&amp;[1]Source!I1930&amp;"=332,5/"&amp;"10"</f>
        <v>Объем: 33,25=332,5/10</v>
      </c>
      <c r="M2035"/>
      <c r="N2035"/>
      <c r="O2035"/>
      <c r="P2035"/>
      <c r="Q2035"/>
    </row>
    <row r="2036" spans="1:33" ht="14.25" x14ac:dyDescent="0.2">
      <c r="A2036" s="31"/>
      <c r="B2036" s="31"/>
      <c r="C2036" s="31" t="s">
        <v>34</v>
      </c>
      <c r="D2036" s="32"/>
      <c r="E2036" s="4"/>
      <c r="F2036" s="33">
        <f>[1]Source!AO1930</f>
        <v>931.8</v>
      </c>
      <c r="G2036" s="34" t="str">
        <f>[1]Source!DG1930</f>
        <v>)*1*10</v>
      </c>
      <c r="H2036" s="4">
        <f>[1]Source!AV1930</f>
        <v>1</v>
      </c>
      <c r="I2036" s="4">
        <f>IF([1]Source!BA1930&lt;&gt; 0, [1]Source!BA1930, 1)</f>
        <v>1</v>
      </c>
      <c r="J2036" s="33">
        <f>[1]Source!S1930</f>
        <v>309823.5</v>
      </c>
      <c r="K2036" s="33"/>
      <c r="M2036"/>
      <c r="N2036"/>
      <c r="O2036"/>
      <c r="P2036"/>
      <c r="Q2036"/>
    </row>
    <row r="2037" spans="1:33" ht="14.25" x14ac:dyDescent="0.2">
      <c r="A2037" s="31"/>
      <c r="B2037" s="31"/>
      <c r="C2037" s="31" t="s">
        <v>40</v>
      </c>
      <c r="D2037" s="32" t="s">
        <v>39</v>
      </c>
      <c r="E2037" s="4">
        <f>[1]Source!AT1930</f>
        <v>70</v>
      </c>
      <c r="F2037" s="33"/>
      <c r="G2037" s="34"/>
      <c r="H2037" s="4"/>
      <c r="I2037" s="4"/>
      <c r="J2037" s="33">
        <f>SUM(AC2034:AC2036)</f>
        <v>216876.45</v>
      </c>
      <c r="K2037" s="33"/>
      <c r="M2037"/>
      <c r="N2037"/>
      <c r="O2037"/>
      <c r="P2037"/>
      <c r="Q2037"/>
    </row>
    <row r="2038" spans="1:33" ht="14.25" x14ac:dyDescent="0.2">
      <c r="A2038" s="31"/>
      <c r="B2038" s="31"/>
      <c r="C2038" s="31" t="s">
        <v>41</v>
      </c>
      <c r="D2038" s="32" t="s">
        <v>39</v>
      </c>
      <c r="E2038" s="4">
        <f>[1]Source!AU1930</f>
        <v>10</v>
      </c>
      <c r="F2038" s="33"/>
      <c r="G2038" s="34"/>
      <c r="H2038" s="4"/>
      <c r="I2038" s="4"/>
      <c r="J2038" s="33">
        <f>SUM(AE2034:AE2037)</f>
        <v>30982.35</v>
      </c>
      <c r="K2038" s="33"/>
      <c r="M2038"/>
      <c r="N2038"/>
      <c r="O2038"/>
      <c r="P2038"/>
      <c r="Q2038"/>
    </row>
    <row r="2039" spans="1:33" ht="14.25" x14ac:dyDescent="0.2">
      <c r="A2039" s="31"/>
      <c r="B2039" s="31"/>
      <c r="C2039" s="31" t="s">
        <v>42</v>
      </c>
      <c r="D2039" s="32" t="s">
        <v>43</v>
      </c>
      <c r="E2039" s="4">
        <f>[1]Source!AQ1930</f>
        <v>3.36</v>
      </c>
      <c r="F2039" s="33"/>
      <c r="G2039" s="34" t="str">
        <f>[1]Source!DI1930</f>
        <v>)*1*10</v>
      </c>
      <c r="H2039" s="4">
        <f>[1]Source!AV1930</f>
        <v>1</v>
      </c>
      <c r="I2039" s="4"/>
      <c r="J2039" s="33"/>
      <c r="K2039" s="33">
        <f>[1]Source!U1930</f>
        <v>1117.2</v>
      </c>
      <c r="M2039"/>
      <c r="N2039"/>
      <c r="O2039"/>
      <c r="P2039"/>
      <c r="Q2039"/>
    </row>
    <row r="2040" spans="1:33" ht="15" x14ac:dyDescent="0.25">
      <c r="A2040" s="35"/>
      <c r="B2040" s="35"/>
      <c r="C2040" s="35"/>
      <c r="D2040" s="35"/>
      <c r="E2040" s="35"/>
      <c r="F2040" s="35"/>
      <c r="G2040" s="35"/>
      <c r="H2040" s="35"/>
      <c r="I2040" s="36">
        <f>J2036+J2037+J2038</f>
        <v>557682.29999999993</v>
      </c>
      <c r="J2040" s="36"/>
      <c r="K2040" s="37">
        <f>IF([1]Source!I1930&lt;&gt;0, ROUND(I2040/[1]Source!I1930, 2), 0)</f>
        <v>16772.400000000001</v>
      </c>
      <c r="M2040"/>
      <c r="N2040"/>
      <c r="O2040"/>
      <c r="P2040"/>
      <c r="Q2040"/>
      <c r="AA2040" s="38">
        <f>I2040</f>
        <v>557682.29999999993</v>
      </c>
    </row>
    <row r="2041" spans="1:33" ht="57" x14ac:dyDescent="0.2">
      <c r="A2041" s="31">
        <v>285</v>
      </c>
      <c r="B2041" s="31" t="str">
        <f>[1]Source!F1931</f>
        <v>5.3-1102-27-2/1</v>
      </c>
      <c r="C2041" s="31" t="str">
        <f>[1]Source!G1931</f>
        <v>Очистка лотков с решетками от наледи, добавлять к 3-1102-27-1 на каждые 100 см2 изменения сечения лотка</v>
      </c>
      <c r="D2041" s="32" t="str">
        <f>[1]Source!H1931</f>
        <v>10 м</v>
      </c>
      <c r="E2041" s="4">
        <f>[1]Source!I1931</f>
        <v>33.25</v>
      </c>
      <c r="F2041" s="33"/>
      <c r="G2041" s="34"/>
      <c r="H2041" s="4"/>
      <c r="I2041" s="4"/>
      <c r="J2041" s="33"/>
      <c r="K2041" s="33"/>
      <c r="M2041"/>
      <c r="N2041"/>
      <c r="O2041"/>
      <c r="P2041"/>
      <c r="Q2041"/>
      <c r="AB2041">
        <f>ROUND(([1]Source!BZ1931/100)*ROUND(([1]Source!AF1931*[1]Source!AV1931)*[1]Source!I1931, 2), 2)</f>
        <v>1039445.67</v>
      </c>
      <c r="AC2041">
        <f>[1]Source!X1931</f>
        <v>1039445.67</v>
      </c>
      <c r="AD2041">
        <f>ROUND(([1]Source!CA1931/100)*ROUND(([1]Source!AF1931*[1]Source!AV1931)*[1]Source!I1931, 2), 2)</f>
        <v>148492.24</v>
      </c>
      <c r="AE2041">
        <f>[1]Source!Y1931</f>
        <v>148492.24</v>
      </c>
      <c r="AF2041">
        <f>ROUND((175/100)*ROUND(([1]Source!AE1931*[1]Source!AV1931)*[1]Source!I1931, 2), 2)</f>
        <v>0</v>
      </c>
      <c r="AG2041">
        <f>ROUND((108/100)*ROUND([1]Source!CS1931*[1]Source!I1931, 2), 2)</f>
        <v>0</v>
      </c>
    </row>
    <row r="2042" spans="1:33" x14ac:dyDescent="0.2">
      <c r="C2042" s="40" t="str">
        <f>"Объем: "&amp;[1]Source!I1931&amp;"=332,5/"&amp;"10"</f>
        <v>Объем: 33,25=332,5/10</v>
      </c>
      <c r="M2042"/>
      <c r="N2042"/>
      <c r="O2042"/>
      <c r="P2042"/>
      <c r="Q2042"/>
    </row>
    <row r="2043" spans="1:33" ht="14.25" x14ac:dyDescent="0.2">
      <c r="A2043" s="31"/>
      <c r="B2043" s="31"/>
      <c r="C2043" s="31" t="s">
        <v>34</v>
      </c>
      <c r="D2043" s="32"/>
      <c r="E2043" s="4"/>
      <c r="F2043" s="33">
        <f>[1]Source!AO1931</f>
        <v>366.06</v>
      </c>
      <c r="G2043" s="34" t="str">
        <f>[1]Source!DG1931</f>
        <v>)*1*12,2*10</v>
      </c>
      <c r="H2043" s="4">
        <f>[1]Source!AV1931</f>
        <v>1</v>
      </c>
      <c r="I2043" s="4">
        <f>IF([1]Source!BA1931&lt;&gt; 0, [1]Source!BA1931, 1)</f>
        <v>1</v>
      </c>
      <c r="J2043" s="33">
        <f>[1]Source!S1931</f>
        <v>1484922.39</v>
      </c>
      <c r="K2043" s="33"/>
      <c r="M2043"/>
      <c r="N2043"/>
      <c r="O2043"/>
      <c r="P2043"/>
      <c r="Q2043"/>
    </row>
    <row r="2044" spans="1:33" ht="14.25" x14ac:dyDescent="0.2">
      <c r="A2044" s="31"/>
      <c r="B2044" s="31"/>
      <c r="C2044" s="31" t="s">
        <v>40</v>
      </c>
      <c r="D2044" s="32" t="s">
        <v>39</v>
      </c>
      <c r="E2044" s="4">
        <f>[1]Source!AT1931</f>
        <v>70</v>
      </c>
      <c r="F2044" s="33"/>
      <c r="G2044" s="34"/>
      <c r="H2044" s="4"/>
      <c r="I2044" s="4"/>
      <c r="J2044" s="33">
        <f>SUM(AC2041:AC2043)</f>
        <v>1039445.67</v>
      </c>
      <c r="K2044" s="33"/>
      <c r="M2044"/>
      <c r="N2044"/>
      <c r="O2044"/>
      <c r="P2044"/>
      <c r="Q2044"/>
    </row>
    <row r="2045" spans="1:33" ht="14.25" x14ac:dyDescent="0.2">
      <c r="A2045" s="31"/>
      <c r="B2045" s="31"/>
      <c r="C2045" s="31" t="s">
        <v>41</v>
      </c>
      <c r="D2045" s="32" t="s">
        <v>39</v>
      </c>
      <c r="E2045" s="4">
        <f>[1]Source!AU1931</f>
        <v>10</v>
      </c>
      <c r="F2045" s="33"/>
      <c r="G2045" s="34"/>
      <c r="H2045" s="4"/>
      <c r="I2045" s="4"/>
      <c r="J2045" s="33">
        <f>SUM(AE2041:AE2044)</f>
        <v>148492.24</v>
      </c>
      <c r="K2045" s="33"/>
      <c r="M2045"/>
      <c r="N2045"/>
      <c r="O2045"/>
      <c r="P2045"/>
      <c r="Q2045"/>
    </row>
    <row r="2046" spans="1:33" ht="14.25" x14ac:dyDescent="0.2">
      <c r="A2046" s="31"/>
      <c r="B2046" s="31"/>
      <c r="C2046" s="31" t="s">
        <v>42</v>
      </c>
      <c r="D2046" s="32" t="s">
        <v>43</v>
      </c>
      <c r="E2046" s="4">
        <f>[1]Source!AQ1931</f>
        <v>1.32</v>
      </c>
      <c r="F2046" s="33"/>
      <c r="G2046" s="34" t="str">
        <f>[1]Source!DI1931</f>
        <v>)*1*12,2*10</v>
      </c>
      <c r="H2046" s="4">
        <f>[1]Source!AV1931</f>
        <v>1</v>
      </c>
      <c r="I2046" s="4"/>
      <c r="J2046" s="33"/>
      <c r="K2046" s="33">
        <f>[1]Source!U1931</f>
        <v>5354.58</v>
      </c>
      <c r="M2046"/>
      <c r="N2046"/>
      <c r="O2046"/>
      <c r="P2046"/>
      <c r="Q2046"/>
    </row>
    <row r="2047" spans="1:33" ht="15" x14ac:dyDescent="0.25">
      <c r="A2047" s="35"/>
      <c r="B2047" s="35"/>
      <c r="C2047" s="35"/>
      <c r="D2047" s="35"/>
      <c r="E2047" s="35"/>
      <c r="F2047" s="35"/>
      <c r="G2047" s="35"/>
      <c r="H2047" s="35"/>
      <c r="I2047" s="36">
        <f>J2043+J2044+J2045</f>
        <v>2672860.2999999998</v>
      </c>
      <c r="J2047" s="36"/>
      <c r="K2047" s="37">
        <f>IF([1]Source!I1931&lt;&gt;0, ROUND(I2047/[1]Source!I1931, 2), 0)</f>
        <v>80386.78</v>
      </c>
      <c r="M2047"/>
      <c r="N2047"/>
      <c r="O2047"/>
      <c r="P2047"/>
      <c r="Q2047"/>
      <c r="AA2047" s="38">
        <f>I2047</f>
        <v>2672860.2999999998</v>
      </c>
    </row>
    <row r="2048" spans="1:33" ht="57" x14ac:dyDescent="0.2">
      <c r="A2048" s="31">
        <v>286</v>
      </c>
      <c r="B2048" s="31" t="str">
        <f>[1]Source!F1932</f>
        <v>5.3-1102-27-1/1</v>
      </c>
      <c r="C2048" s="31" t="str">
        <f>[1]Source!G1932</f>
        <v>Очистка лотков с решетками от наледи, сечение лотка 100 см2, количество креплений решеток 20 шт.(сечение 340 см2)</v>
      </c>
      <c r="D2048" s="32" t="str">
        <f>[1]Source!H1932</f>
        <v>10 м</v>
      </c>
      <c r="E2048" s="4">
        <f>[1]Source!I1932</f>
        <v>29.75</v>
      </c>
      <c r="F2048" s="33"/>
      <c r="G2048" s="34"/>
      <c r="H2048" s="4"/>
      <c r="I2048" s="4"/>
      <c r="J2048" s="33"/>
      <c r="K2048" s="33"/>
      <c r="M2048"/>
      <c r="N2048"/>
      <c r="O2048"/>
      <c r="P2048"/>
      <c r="Q2048"/>
      <c r="AB2048">
        <f>ROUND(([1]Source!BZ1932/100)*ROUND(([1]Source!AF1932*[1]Source!AV1932)*[1]Source!I1932, 2), 2)</f>
        <v>194047.35</v>
      </c>
      <c r="AC2048">
        <f>[1]Source!X1932</f>
        <v>194047.35</v>
      </c>
      <c r="AD2048">
        <f>ROUND(([1]Source!CA1932/100)*ROUND(([1]Source!AF1932*[1]Source!AV1932)*[1]Source!I1932, 2), 2)</f>
        <v>27721.05</v>
      </c>
      <c r="AE2048">
        <f>[1]Source!Y1932</f>
        <v>27721.05</v>
      </c>
      <c r="AF2048">
        <f>ROUND((175/100)*ROUND(([1]Source!AE1932*[1]Source!AV1932)*[1]Source!I1932, 2), 2)</f>
        <v>0</v>
      </c>
      <c r="AG2048">
        <f>ROUND((108/100)*ROUND([1]Source!CS1932*[1]Source!I1932, 2), 2)</f>
        <v>0</v>
      </c>
    </row>
    <row r="2049" spans="1:33" x14ac:dyDescent="0.2">
      <c r="C2049" s="40" t="str">
        <f>"Объем: "&amp;[1]Source!I1932&amp;"=297,5/"&amp;"10"</f>
        <v>Объем: 29,75=297,5/10</v>
      </c>
      <c r="M2049"/>
      <c r="N2049"/>
      <c r="O2049"/>
      <c r="P2049"/>
      <c r="Q2049"/>
    </row>
    <row r="2050" spans="1:33" ht="14.25" x14ac:dyDescent="0.2">
      <c r="A2050" s="31"/>
      <c r="B2050" s="31"/>
      <c r="C2050" s="31" t="s">
        <v>34</v>
      </c>
      <c r="D2050" s="32"/>
      <c r="E2050" s="4"/>
      <c r="F2050" s="33">
        <f>[1]Source!AO1932</f>
        <v>931.8</v>
      </c>
      <c r="G2050" s="34" t="str">
        <f>[1]Source!DG1932</f>
        <v>)*1*10</v>
      </c>
      <c r="H2050" s="4">
        <f>[1]Source!AV1932</f>
        <v>1</v>
      </c>
      <c r="I2050" s="4">
        <f>IF([1]Source!BA1932&lt;&gt; 0, [1]Source!BA1932, 1)</f>
        <v>1</v>
      </c>
      <c r="J2050" s="33">
        <f>[1]Source!S1932</f>
        <v>277210.5</v>
      </c>
      <c r="K2050" s="33"/>
      <c r="M2050"/>
      <c r="N2050"/>
      <c r="O2050"/>
      <c r="P2050"/>
      <c r="Q2050"/>
    </row>
    <row r="2051" spans="1:33" ht="14.25" x14ac:dyDescent="0.2">
      <c r="A2051" s="31"/>
      <c r="B2051" s="31"/>
      <c r="C2051" s="31" t="s">
        <v>40</v>
      </c>
      <c r="D2051" s="32" t="s">
        <v>39</v>
      </c>
      <c r="E2051" s="4">
        <f>[1]Source!AT1932</f>
        <v>70</v>
      </c>
      <c r="F2051" s="33"/>
      <c r="G2051" s="34"/>
      <c r="H2051" s="4"/>
      <c r="I2051" s="4"/>
      <c r="J2051" s="33">
        <f>SUM(AC2048:AC2050)</f>
        <v>194047.35</v>
      </c>
      <c r="K2051" s="33"/>
      <c r="M2051"/>
      <c r="N2051"/>
      <c r="O2051"/>
      <c r="P2051"/>
      <c r="Q2051"/>
    </row>
    <row r="2052" spans="1:33" ht="14.25" x14ac:dyDescent="0.2">
      <c r="A2052" s="31"/>
      <c r="B2052" s="31"/>
      <c r="C2052" s="31" t="s">
        <v>41</v>
      </c>
      <c r="D2052" s="32" t="s">
        <v>39</v>
      </c>
      <c r="E2052" s="4">
        <f>[1]Source!AU1932</f>
        <v>10</v>
      </c>
      <c r="F2052" s="33"/>
      <c r="G2052" s="34"/>
      <c r="H2052" s="4"/>
      <c r="I2052" s="4"/>
      <c r="J2052" s="33">
        <f>SUM(AE2048:AE2051)</f>
        <v>27721.05</v>
      </c>
      <c r="K2052" s="33"/>
      <c r="M2052"/>
      <c r="N2052"/>
      <c r="O2052"/>
      <c r="P2052"/>
      <c r="Q2052"/>
    </row>
    <row r="2053" spans="1:33" ht="14.25" x14ac:dyDescent="0.2">
      <c r="A2053" s="31"/>
      <c r="B2053" s="31"/>
      <c r="C2053" s="31" t="s">
        <v>42</v>
      </c>
      <c r="D2053" s="32" t="s">
        <v>43</v>
      </c>
      <c r="E2053" s="4">
        <f>[1]Source!AQ1932</f>
        <v>3.36</v>
      </c>
      <c r="F2053" s="33"/>
      <c r="G2053" s="34" t="str">
        <f>[1]Source!DI1932</f>
        <v>)*1*10</v>
      </c>
      <c r="H2053" s="4">
        <f>[1]Source!AV1932</f>
        <v>1</v>
      </c>
      <c r="I2053" s="4"/>
      <c r="J2053" s="33"/>
      <c r="K2053" s="33">
        <f>[1]Source!U1932</f>
        <v>999.6</v>
      </c>
      <c r="M2053"/>
      <c r="N2053"/>
      <c r="O2053"/>
      <c r="P2053"/>
      <c r="Q2053"/>
    </row>
    <row r="2054" spans="1:33" ht="15" x14ac:dyDescent="0.25">
      <c r="A2054" s="35"/>
      <c r="B2054" s="35"/>
      <c r="C2054" s="35"/>
      <c r="D2054" s="35"/>
      <c r="E2054" s="35"/>
      <c r="F2054" s="35"/>
      <c r="G2054" s="35"/>
      <c r="H2054" s="35"/>
      <c r="I2054" s="36">
        <f>J2050+J2051+J2052</f>
        <v>498978.89999999997</v>
      </c>
      <c r="J2054" s="36"/>
      <c r="K2054" s="37">
        <f>IF([1]Source!I1932&lt;&gt;0, ROUND(I2054/[1]Source!I1932, 2), 0)</f>
        <v>16772.400000000001</v>
      </c>
      <c r="M2054"/>
      <c r="N2054"/>
      <c r="O2054"/>
      <c r="P2054"/>
      <c r="Q2054"/>
      <c r="AA2054" s="38">
        <f>I2054</f>
        <v>498978.89999999997</v>
      </c>
    </row>
    <row r="2055" spans="1:33" ht="57" x14ac:dyDescent="0.2">
      <c r="A2055" s="31">
        <v>287</v>
      </c>
      <c r="B2055" s="31" t="str">
        <f>[1]Source!F1933</f>
        <v>5.3-1102-27-2/1</v>
      </c>
      <c r="C2055" s="31" t="str">
        <f>[1]Source!G1933</f>
        <v>Очистка лотков с решетками от наледи, добавлять к 3-1102-27-1 на каждые 100 см2 изменения сечения лотка</v>
      </c>
      <c r="D2055" s="32" t="str">
        <f>[1]Source!H1933</f>
        <v>10 м</v>
      </c>
      <c r="E2055" s="4">
        <f>[1]Source!I1933</f>
        <v>29.75</v>
      </c>
      <c r="F2055" s="33"/>
      <c r="G2055" s="34"/>
      <c r="H2055" s="4"/>
      <c r="I2055" s="4"/>
      <c r="J2055" s="33"/>
      <c r="K2055" s="33"/>
      <c r="M2055"/>
      <c r="N2055"/>
      <c r="O2055"/>
      <c r="P2055"/>
      <c r="Q2055"/>
      <c r="AB2055">
        <f>ROUND(([1]Source!BZ1933/100)*ROUND(([1]Source!AF1933*[1]Source!AV1933)*[1]Source!I1933, 2), 2)</f>
        <v>182956.79</v>
      </c>
      <c r="AC2055">
        <f>[1]Source!X1933</f>
        <v>182956.79</v>
      </c>
      <c r="AD2055">
        <f>ROUND(([1]Source!CA1933/100)*ROUND(([1]Source!AF1933*[1]Source!AV1933)*[1]Source!I1933, 2), 2)</f>
        <v>26136.68</v>
      </c>
      <c r="AE2055">
        <f>[1]Source!Y1933</f>
        <v>26136.68</v>
      </c>
      <c r="AF2055">
        <f>ROUND((175/100)*ROUND(([1]Source!AE1933*[1]Source!AV1933)*[1]Source!I1933, 2), 2)</f>
        <v>0</v>
      </c>
      <c r="AG2055">
        <f>ROUND((108/100)*ROUND([1]Source!CS1933*[1]Source!I1933, 2), 2)</f>
        <v>0</v>
      </c>
    </row>
    <row r="2056" spans="1:33" x14ac:dyDescent="0.2">
      <c r="C2056" s="40" t="str">
        <f>"Объем: "&amp;[1]Source!I1933&amp;"=297,5/"&amp;"10"</f>
        <v>Объем: 29,75=297,5/10</v>
      </c>
      <c r="M2056"/>
      <c r="N2056"/>
      <c r="O2056"/>
      <c r="P2056"/>
      <c r="Q2056"/>
    </row>
    <row r="2057" spans="1:33" ht="14.25" x14ac:dyDescent="0.2">
      <c r="A2057" s="31"/>
      <c r="B2057" s="31"/>
      <c r="C2057" s="31" t="s">
        <v>34</v>
      </c>
      <c r="D2057" s="32"/>
      <c r="E2057" s="4"/>
      <c r="F2057" s="33">
        <f>[1]Source!AO1933</f>
        <v>366.06</v>
      </c>
      <c r="G2057" s="34" t="str">
        <f>[1]Source!DG1933</f>
        <v>)*1*2,4*10</v>
      </c>
      <c r="H2057" s="4">
        <f>[1]Source!AV1933</f>
        <v>1</v>
      </c>
      <c r="I2057" s="4">
        <f>IF([1]Source!BA1933&lt;&gt; 0, [1]Source!BA1933, 1)</f>
        <v>1</v>
      </c>
      <c r="J2057" s="33">
        <f>[1]Source!S1933</f>
        <v>261366.84</v>
      </c>
      <c r="K2057" s="33"/>
      <c r="M2057"/>
      <c r="N2057"/>
      <c r="O2057"/>
      <c r="P2057"/>
      <c r="Q2057"/>
    </row>
    <row r="2058" spans="1:33" ht="14.25" x14ac:dyDescent="0.2">
      <c r="A2058" s="31"/>
      <c r="B2058" s="31"/>
      <c r="C2058" s="31" t="s">
        <v>40</v>
      </c>
      <c r="D2058" s="32" t="s">
        <v>39</v>
      </c>
      <c r="E2058" s="4">
        <f>[1]Source!AT1933</f>
        <v>70</v>
      </c>
      <c r="F2058" s="33"/>
      <c r="G2058" s="34"/>
      <c r="H2058" s="4"/>
      <c r="I2058" s="4"/>
      <c r="J2058" s="33">
        <f>SUM(AC2055:AC2057)</f>
        <v>182956.79</v>
      </c>
      <c r="K2058" s="33"/>
      <c r="M2058"/>
      <c r="N2058"/>
      <c r="O2058"/>
      <c r="P2058"/>
      <c r="Q2058"/>
    </row>
    <row r="2059" spans="1:33" ht="14.25" x14ac:dyDescent="0.2">
      <c r="A2059" s="31"/>
      <c r="B2059" s="31"/>
      <c r="C2059" s="31" t="s">
        <v>41</v>
      </c>
      <c r="D2059" s="32" t="s">
        <v>39</v>
      </c>
      <c r="E2059" s="4">
        <f>[1]Source!AU1933</f>
        <v>10</v>
      </c>
      <c r="F2059" s="33"/>
      <c r="G2059" s="34"/>
      <c r="H2059" s="4"/>
      <c r="I2059" s="4"/>
      <c r="J2059" s="33">
        <f>SUM(AE2055:AE2058)</f>
        <v>26136.68</v>
      </c>
      <c r="K2059" s="33"/>
      <c r="M2059"/>
      <c r="N2059"/>
      <c r="O2059"/>
      <c r="P2059"/>
      <c r="Q2059"/>
    </row>
    <row r="2060" spans="1:33" ht="14.25" x14ac:dyDescent="0.2">
      <c r="A2060" s="31"/>
      <c r="B2060" s="31"/>
      <c r="C2060" s="31" t="s">
        <v>42</v>
      </c>
      <c r="D2060" s="32" t="s">
        <v>43</v>
      </c>
      <c r="E2060" s="4">
        <f>[1]Source!AQ1933</f>
        <v>1.32</v>
      </c>
      <c r="F2060" s="33"/>
      <c r="G2060" s="34" t="str">
        <f>[1]Source!DI1933</f>
        <v>)*1*2,4*10</v>
      </c>
      <c r="H2060" s="4">
        <f>[1]Source!AV1933</f>
        <v>1</v>
      </c>
      <c r="I2060" s="4"/>
      <c r="J2060" s="33"/>
      <c r="K2060" s="33">
        <f>[1]Source!U1933</f>
        <v>942.48</v>
      </c>
      <c r="M2060"/>
      <c r="N2060"/>
      <c r="O2060"/>
      <c r="P2060"/>
      <c r="Q2060"/>
    </row>
    <row r="2061" spans="1:33" ht="15" x14ac:dyDescent="0.25">
      <c r="A2061" s="35"/>
      <c r="B2061" s="35"/>
      <c r="C2061" s="35"/>
      <c r="D2061" s="35"/>
      <c r="E2061" s="35"/>
      <c r="F2061" s="35"/>
      <c r="G2061" s="35"/>
      <c r="H2061" s="35"/>
      <c r="I2061" s="36">
        <f>J2057+J2058+J2059</f>
        <v>470460.31</v>
      </c>
      <c r="J2061" s="36"/>
      <c r="K2061" s="37">
        <f>IF([1]Source!I1933&lt;&gt;0, ROUND(I2061/[1]Source!I1933, 2), 0)</f>
        <v>15813.79</v>
      </c>
      <c r="M2061"/>
      <c r="N2061"/>
      <c r="O2061"/>
      <c r="P2061"/>
      <c r="Q2061"/>
      <c r="AA2061" s="38">
        <f>I2061</f>
        <v>470460.31</v>
      </c>
    </row>
    <row r="2062" spans="1:33" ht="57" x14ac:dyDescent="0.2">
      <c r="A2062" s="31">
        <v>288</v>
      </c>
      <c r="B2062" s="31" t="str">
        <f>[1]Source!F1934</f>
        <v>5.3-1102-27-1/1</v>
      </c>
      <c r="C2062" s="31" t="str">
        <f>[1]Source!G1934</f>
        <v>Очистка лотков с решетками от наледи, сечение лотка 100 см2, количество креплений решеток 20 шт.(сечение 120 см2)</v>
      </c>
      <c r="D2062" s="32" t="str">
        <f>[1]Source!H1934</f>
        <v>10 м</v>
      </c>
      <c r="E2062" s="4">
        <f>[1]Source!I1934</f>
        <v>0.34</v>
      </c>
      <c r="F2062" s="33"/>
      <c r="G2062" s="34"/>
      <c r="H2062" s="4"/>
      <c r="I2062" s="4"/>
      <c r="J2062" s="33"/>
      <c r="K2062" s="33"/>
      <c r="M2062"/>
      <c r="N2062"/>
      <c r="O2062"/>
      <c r="P2062"/>
      <c r="Q2062"/>
      <c r="AB2062">
        <f>ROUND(([1]Source!BZ1934/100)*ROUND(([1]Source!AF1934*[1]Source!AV1934)*[1]Source!I1934, 2), 2)</f>
        <v>2217.6799999999998</v>
      </c>
      <c r="AC2062">
        <f>[1]Source!X1934</f>
        <v>2217.6799999999998</v>
      </c>
      <c r="AD2062">
        <f>ROUND(([1]Source!CA1934/100)*ROUND(([1]Source!AF1934*[1]Source!AV1934)*[1]Source!I1934, 2), 2)</f>
        <v>316.81</v>
      </c>
      <c r="AE2062">
        <f>[1]Source!Y1934</f>
        <v>316.81</v>
      </c>
      <c r="AF2062">
        <f>ROUND((175/100)*ROUND(([1]Source!AE1934*[1]Source!AV1934)*[1]Source!I1934, 2), 2)</f>
        <v>0</v>
      </c>
      <c r="AG2062">
        <f>ROUND((108/100)*ROUND([1]Source!CS1934*[1]Source!I1934, 2), 2)</f>
        <v>0</v>
      </c>
    </row>
    <row r="2063" spans="1:33" x14ac:dyDescent="0.2">
      <c r="C2063" s="40" t="str">
        <f>"Объем: "&amp;[1]Source!I1934&amp;"=3,4/"&amp;"10"</f>
        <v>Объем: 0,34=3,4/10</v>
      </c>
      <c r="M2063"/>
      <c r="N2063"/>
      <c r="O2063"/>
      <c r="P2063"/>
      <c r="Q2063"/>
    </row>
    <row r="2064" spans="1:33" ht="14.25" x14ac:dyDescent="0.2">
      <c r="A2064" s="31"/>
      <c r="B2064" s="31"/>
      <c r="C2064" s="31" t="s">
        <v>34</v>
      </c>
      <c r="D2064" s="32"/>
      <c r="E2064" s="4"/>
      <c r="F2064" s="33">
        <f>[1]Source!AO1934</f>
        <v>931.8</v>
      </c>
      <c r="G2064" s="34" t="str">
        <f>[1]Source!DG1934</f>
        <v>)*1*10</v>
      </c>
      <c r="H2064" s="4">
        <f>[1]Source!AV1934</f>
        <v>1</v>
      </c>
      <c r="I2064" s="4">
        <f>IF([1]Source!BA1934&lt;&gt; 0, [1]Source!BA1934, 1)</f>
        <v>1</v>
      </c>
      <c r="J2064" s="33">
        <f>[1]Source!S1934</f>
        <v>3168.12</v>
      </c>
      <c r="K2064" s="33"/>
      <c r="M2064"/>
      <c r="N2064"/>
      <c r="O2064"/>
      <c r="P2064"/>
      <c r="Q2064"/>
    </row>
    <row r="2065" spans="1:33" ht="14.25" x14ac:dyDescent="0.2">
      <c r="A2065" s="31"/>
      <c r="B2065" s="31"/>
      <c r="C2065" s="31" t="s">
        <v>40</v>
      </c>
      <c r="D2065" s="32" t="s">
        <v>39</v>
      </c>
      <c r="E2065" s="4">
        <f>[1]Source!AT1934</f>
        <v>70</v>
      </c>
      <c r="F2065" s="33"/>
      <c r="G2065" s="34"/>
      <c r="H2065" s="4"/>
      <c r="I2065" s="4"/>
      <c r="J2065" s="33">
        <f>SUM(AC2062:AC2064)</f>
        <v>2217.6799999999998</v>
      </c>
      <c r="K2065" s="33"/>
      <c r="M2065"/>
      <c r="N2065"/>
      <c r="O2065"/>
      <c r="P2065"/>
      <c r="Q2065"/>
    </row>
    <row r="2066" spans="1:33" ht="14.25" x14ac:dyDescent="0.2">
      <c r="A2066" s="31"/>
      <c r="B2066" s="31"/>
      <c r="C2066" s="31" t="s">
        <v>41</v>
      </c>
      <c r="D2066" s="32" t="s">
        <v>39</v>
      </c>
      <c r="E2066" s="4">
        <f>[1]Source!AU1934</f>
        <v>10</v>
      </c>
      <c r="F2066" s="33"/>
      <c r="G2066" s="34"/>
      <c r="H2066" s="4"/>
      <c r="I2066" s="4"/>
      <c r="J2066" s="33">
        <f>SUM(AE2062:AE2065)</f>
        <v>316.81</v>
      </c>
      <c r="K2066" s="33"/>
      <c r="M2066"/>
      <c r="N2066"/>
      <c r="O2066"/>
      <c r="P2066"/>
      <c r="Q2066"/>
    </row>
    <row r="2067" spans="1:33" ht="14.25" x14ac:dyDescent="0.2">
      <c r="A2067" s="31"/>
      <c r="B2067" s="31"/>
      <c r="C2067" s="31" t="s">
        <v>42</v>
      </c>
      <c r="D2067" s="32" t="s">
        <v>43</v>
      </c>
      <c r="E2067" s="4">
        <f>[1]Source!AQ1934</f>
        <v>3.36</v>
      </c>
      <c r="F2067" s="33"/>
      <c r="G2067" s="34" t="str">
        <f>[1]Source!DI1934</f>
        <v>)*1*10</v>
      </c>
      <c r="H2067" s="4">
        <f>[1]Source!AV1934</f>
        <v>1</v>
      </c>
      <c r="I2067" s="4"/>
      <c r="J2067" s="33"/>
      <c r="K2067" s="33">
        <f>[1]Source!U1934</f>
        <v>11.424000000000001</v>
      </c>
      <c r="M2067"/>
      <c r="N2067"/>
      <c r="O2067"/>
      <c r="P2067"/>
      <c r="Q2067"/>
    </row>
    <row r="2068" spans="1:33" ht="15" x14ac:dyDescent="0.25">
      <c r="A2068" s="35"/>
      <c r="B2068" s="35"/>
      <c r="C2068" s="35"/>
      <c r="D2068" s="35"/>
      <c r="E2068" s="35"/>
      <c r="F2068" s="35"/>
      <c r="G2068" s="35"/>
      <c r="H2068" s="35"/>
      <c r="I2068" s="36">
        <f>J2064+J2065+J2066</f>
        <v>5702.61</v>
      </c>
      <c r="J2068" s="36"/>
      <c r="K2068" s="37">
        <f>IF([1]Source!I1934&lt;&gt;0, ROUND(I2068/[1]Source!I1934, 2), 0)</f>
        <v>16772.38</v>
      </c>
      <c r="M2068"/>
      <c r="N2068"/>
      <c r="O2068"/>
      <c r="P2068"/>
      <c r="Q2068"/>
      <c r="AA2068" s="38">
        <f>I2068</f>
        <v>5702.61</v>
      </c>
    </row>
    <row r="2069" spans="1:33" ht="57" x14ac:dyDescent="0.2">
      <c r="A2069" s="31">
        <v>289</v>
      </c>
      <c r="B2069" s="31" t="str">
        <f>[1]Source!F1935</f>
        <v>5.3-1102-27-2/1</v>
      </c>
      <c r="C2069" s="31" t="str">
        <f>[1]Source!G1935</f>
        <v>Очистка лотков с решетками от наледи, добавлять к 3-1102-27-1 на каждые 100 см2 изменения сечения лотка</v>
      </c>
      <c r="D2069" s="32" t="str">
        <f>[1]Source!H1935</f>
        <v>10 м</v>
      </c>
      <c r="E2069" s="4">
        <f>[1]Source!I1935</f>
        <v>0.34</v>
      </c>
      <c r="F2069" s="33"/>
      <c r="G2069" s="34"/>
      <c r="H2069" s="4"/>
      <c r="I2069" s="4"/>
      <c r="J2069" s="33"/>
      <c r="K2069" s="33"/>
      <c r="M2069"/>
      <c r="N2069"/>
      <c r="O2069"/>
      <c r="P2069"/>
      <c r="Q2069"/>
      <c r="AB2069">
        <f>ROUND(([1]Source!BZ1935/100)*ROUND(([1]Source!AF1935*[1]Source!AV1935)*[1]Source!I1935, 2), 2)</f>
        <v>174.24</v>
      </c>
      <c r="AC2069">
        <f>[1]Source!X1935</f>
        <v>174.24</v>
      </c>
      <c r="AD2069">
        <f>ROUND(([1]Source!CA1935/100)*ROUND(([1]Source!AF1935*[1]Source!AV1935)*[1]Source!I1935, 2), 2)</f>
        <v>24.89</v>
      </c>
      <c r="AE2069">
        <f>[1]Source!Y1935</f>
        <v>24.89</v>
      </c>
      <c r="AF2069">
        <f>ROUND((175/100)*ROUND(([1]Source!AE1935*[1]Source!AV1935)*[1]Source!I1935, 2), 2)</f>
        <v>0</v>
      </c>
      <c r="AG2069">
        <f>ROUND((108/100)*ROUND([1]Source!CS1935*[1]Source!I1935, 2), 2)</f>
        <v>0</v>
      </c>
    </row>
    <row r="2070" spans="1:33" x14ac:dyDescent="0.2">
      <c r="C2070" s="40" t="str">
        <f>"Объем: "&amp;[1]Source!I1935&amp;"=3,4/"&amp;"10"</f>
        <v>Объем: 0,34=3,4/10</v>
      </c>
      <c r="M2070"/>
      <c r="N2070"/>
      <c r="O2070"/>
      <c r="P2070"/>
      <c r="Q2070"/>
    </row>
    <row r="2071" spans="1:33" ht="14.25" x14ac:dyDescent="0.2">
      <c r="A2071" s="31"/>
      <c r="B2071" s="31"/>
      <c r="C2071" s="31" t="s">
        <v>34</v>
      </c>
      <c r="D2071" s="32"/>
      <c r="E2071" s="4"/>
      <c r="F2071" s="33">
        <f>[1]Source!AO1935</f>
        <v>366.06</v>
      </c>
      <c r="G2071" s="34" t="str">
        <f>[1]Source!DG1935</f>
        <v>)*1*0,2*10</v>
      </c>
      <c r="H2071" s="4">
        <f>[1]Source!AV1935</f>
        <v>1</v>
      </c>
      <c r="I2071" s="4">
        <f>IF([1]Source!BA1935&lt;&gt; 0, [1]Source!BA1935, 1)</f>
        <v>1</v>
      </c>
      <c r="J2071" s="33">
        <f>[1]Source!S1935</f>
        <v>248.92</v>
      </c>
      <c r="K2071" s="33"/>
      <c r="M2071"/>
      <c r="N2071"/>
      <c r="O2071"/>
      <c r="P2071"/>
      <c r="Q2071"/>
    </row>
    <row r="2072" spans="1:33" ht="14.25" x14ac:dyDescent="0.2">
      <c r="A2072" s="31"/>
      <c r="B2072" s="31"/>
      <c r="C2072" s="31" t="s">
        <v>40</v>
      </c>
      <c r="D2072" s="32" t="s">
        <v>39</v>
      </c>
      <c r="E2072" s="4">
        <f>[1]Source!AT1935</f>
        <v>70</v>
      </c>
      <c r="F2072" s="33"/>
      <c r="G2072" s="34"/>
      <c r="H2072" s="4"/>
      <c r="I2072" s="4"/>
      <c r="J2072" s="33">
        <f>SUM(AC2069:AC2071)</f>
        <v>174.24</v>
      </c>
      <c r="K2072" s="33"/>
      <c r="M2072"/>
      <c r="N2072"/>
      <c r="O2072"/>
      <c r="P2072"/>
      <c r="Q2072"/>
    </row>
    <row r="2073" spans="1:33" ht="14.25" x14ac:dyDescent="0.2">
      <c r="A2073" s="31"/>
      <c r="B2073" s="31"/>
      <c r="C2073" s="31" t="s">
        <v>41</v>
      </c>
      <c r="D2073" s="32" t="s">
        <v>39</v>
      </c>
      <c r="E2073" s="4">
        <f>[1]Source!AU1935</f>
        <v>10</v>
      </c>
      <c r="F2073" s="33"/>
      <c r="G2073" s="34"/>
      <c r="H2073" s="4"/>
      <c r="I2073" s="4"/>
      <c r="J2073" s="33">
        <f>SUM(AE2069:AE2072)</f>
        <v>24.89</v>
      </c>
      <c r="K2073" s="33"/>
      <c r="M2073"/>
      <c r="N2073"/>
      <c r="O2073"/>
      <c r="P2073"/>
      <c r="Q2073"/>
    </row>
    <row r="2074" spans="1:33" ht="14.25" x14ac:dyDescent="0.2">
      <c r="A2074" s="31"/>
      <c r="B2074" s="31"/>
      <c r="C2074" s="31" t="s">
        <v>42</v>
      </c>
      <c r="D2074" s="32" t="s">
        <v>43</v>
      </c>
      <c r="E2074" s="4">
        <f>[1]Source!AQ1935</f>
        <v>1.32</v>
      </c>
      <c r="F2074" s="33"/>
      <c r="G2074" s="34" t="str">
        <f>[1]Source!DI1935</f>
        <v>)*1*0,2*10</v>
      </c>
      <c r="H2074" s="4">
        <f>[1]Source!AV1935</f>
        <v>1</v>
      </c>
      <c r="I2074" s="4"/>
      <c r="J2074" s="33"/>
      <c r="K2074" s="33">
        <f>[1]Source!U1935</f>
        <v>0.89760000000000006</v>
      </c>
      <c r="M2074"/>
      <c r="N2074"/>
      <c r="O2074"/>
      <c r="P2074"/>
      <c r="Q2074"/>
    </row>
    <row r="2075" spans="1:33" ht="15" x14ac:dyDescent="0.25">
      <c r="A2075" s="35"/>
      <c r="B2075" s="35"/>
      <c r="C2075" s="35"/>
      <c r="D2075" s="35"/>
      <c r="E2075" s="35"/>
      <c r="F2075" s="35"/>
      <c r="G2075" s="35"/>
      <c r="H2075" s="35"/>
      <c r="I2075" s="36">
        <f>J2071+J2072+J2073</f>
        <v>448.04999999999995</v>
      </c>
      <c r="J2075" s="36"/>
      <c r="K2075" s="37">
        <f>IF([1]Source!I1935&lt;&gt;0, ROUND(I2075/[1]Source!I1935, 2), 0)</f>
        <v>1317.79</v>
      </c>
      <c r="M2075"/>
      <c r="N2075"/>
      <c r="O2075"/>
      <c r="P2075"/>
      <c r="Q2075"/>
      <c r="AA2075" s="38">
        <f>I2075</f>
        <v>448.04999999999995</v>
      </c>
    </row>
    <row r="2076" spans="1:33" ht="42.75" x14ac:dyDescent="0.2">
      <c r="A2076" s="31">
        <v>290</v>
      </c>
      <c r="B2076" s="31" t="str">
        <f>[1]Source!F1936</f>
        <v>5.3-1102-27-3/1</v>
      </c>
      <c r="C2076" s="31" t="str">
        <f>[1]Source!G1936</f>
        <v>Очистка лотков с решетками от наледи, добавлять к 3-1102-27-1 на каждые 10 креплений решеток</v>
      </c>
      <c r="D2076" s="32" t="str">
        <f>[1]Source!H1936</f>
        <v>10 шт.</v>
      </c>
      <c r="E2076" s="4">
        <f>[1]Source!I1936</f>
        <v>33.200000000000003</v>
      </c>
      <c r="F2076" s="33"/>
      <c r="G2076" s="34"/>
      <c r="H2076" s="4"/>
      <c r="I2076" s="4"/>
      <c r="J2076" s="33"/>
      <c r="K2076" s="33"/>
      <c r="M2076"/>
      <c r="N2076"/>
      <c r="O2076"/>
      <c r="P2076"/>
      <c r="Q2076"/>
      <c r="AB2076">
        <f>ROUND(([1]Source!BZ1936/100)*ROUND(([1]Source!AF1936*[1]Source!AV1936)*[1]Source!I1936, 2), 2)</f>
        <v>23202.82</v>
      </c>
      <c r="AC2076">
        <f>[1]Source!X1936</f>
        <v>23202.82</v>
      </c>
      <c r="AD2076">
        <f>ROUND(([1]Source!CA1936/100)*ROUND(([1]Source!AF1936*[1]Source!AV1936)*[1]Source!I1936, 2), 2)</f>
        <v>3314.69</v>
      </c>
      <c r="AE2076">
        <f>[1]Source!Y1936</f>
        <v>3314.69</v>
      </c>
      <c r="AF2076">
        <f>ROUND((175/100)*ROUND(([1]Source!AE1936*[1]Source!AV1936)*[1]Source!I1936, 2), 2)</f>
        <v>0</v>
      </c>
      <c r="AG2076">
        <f>ROUND((108/100)*ROUND([1]Source!CS1936*[1]Source!I1936, 2), 2)</f>
        <v>0</v>
      </c>
    </row>
    <row r="2077" spans="1:33" x14ac:dyDescent="0.2">
      <c r="C2077" s="40" t="str">
        <f>"Объем: "&amp;[1]Source!I1936&amp;"=332/"&amp;"10"</f>
        <v>Объем: 33,2=332/10</v>
      </c>
      <c r="M2077"/>
      <c r="N2077"/>
      <c r="O2077"/>
      <c r="P2077"/>
      <c r="Q2077"/>
    </row>
    <row r="2078" spans="1:33" ht="14.25" x14ac:dyDescent="0.2">
      <c r="A2078" s="31"/>
      <c r="B2078" s="31"/>
      <c r="C2078" s="31" t="s">
        <v>34</v>
      </c>
      <c r="D2078" s="32"/>
      <c r="E2078" s="4"/>
      <c r="F2078" s="33">
        <f>[1]Source!AO1936</f>
        <v>99.84</v>
      </c>
      <c r="G2078" s="34" t="str">
        <f>[1]Source!DG1936</f>
        <v>)*1*10</v>
      </c>
      <c r="H2078" s="4">
        <f>[1]Source!AV1936</f>
        <v>1</v>
      </c>
      <c r="I2078" s="4">
        <f>IF([1]Source!BA1936&lt;&gt; 0, [1]Source!BA1936, 1)</f>
        <v>1</v>
      </c>
      <c r="J2078" s="33">
        <f>[1]Source!S1936</f>
        <v>33146.879999999997</v>
      </c>
      <c r="K2078" s="33"/>
      <c r="M2078"/>
      <c r="N2078"/>
      <c r="O2078"/>
      <c r="P2078"/>
      <c r="Q2078"/>
    </row>
    <row r="2079" spans="1:33" ht="14.25" x14ac:dyDescent="0.2">
      <c r="A2079" s="31"/>
      <c r="B2079" s="31"/>
      <c r="C2079" s="31" t="s">
        <v>40</v>
      </c>
      <c r="D2079" s="32" t="s">
        <v>39</v>
      </c>
      <c r="E2079" s="4">
        <f>[1]Source!AT1936</f>
        <v>70</v>
      </c>
      <c r="F2079" s="33"/>
      <c r="G2079" s="34"/>
      <c r="H2079" s="4"/>
      <c r="I2079" s="4"/>
      <c r="J2079" s="33">
        <f>SUM(AC2076:AC2078)</f>
        <v>23202.82</v>
      </c>
      <c r="K2079" s="33"/>
      <c r="M2079"/>
      <c r="N2079"/>
      <c r="O2079"/>
      <c r="P2079"/>
      <c r="Q2079"/>
    </row>
    <row r="2080" spans="1:33" ht="14.25" x14ac:dyDescent="0.2">
      <c r="A2080" s="31"/>
      <c r="B2080" s="31"/>
      <c r="C2080" s="31" t="s">
        <v>41</v>
      </c>
      <c r="D2080" s="32" t="s">
        <v>39</v>
      </c>
      <c r="E2080" s="4">
        <f>[1]Source!AU1936</f>
        <v>10</v>
      </c>
      <c r="F2080" s="33"/>
      <c r="G2080" s="34"/>
      <c r="H2080" s="4"/>
      <c r="I2080" s="4"/>
      <c r="J2080" s="33">
        <f>SUM(AE2076:AE2079)</f>
        <v>3314.69</v>
      </c>
      <c r="K2080" s="33"/>
      <c r="M2080"/>
      <c r="N2080"/>
      <c r="O2080"/>
      <c r="P2080"/>
      <c r="Q2080"/>
    </row>
    <row r="2081" spans="1:33" ht="14.25" x14ac:dyDescent="0.2">
      <c r="A2081" s="31"/>
      <c r="B2081" s="31"/>
      <c r="C2081" s="31" t="s">
        <v>42</v>
      </c>
      <c r="D2081" s="32" t="s">
        <v>43</v>
      </c>
      <c r="E2081" s="4">
        <f>[1]Source!AQ1936</f>
        <v>0.36</v>
      </c>
      <c r="F2081" s="33"/>
      <c r="G2081" s="34" t="str">
        <f>[1]Source!DI1936</f>
        <v>)*1*10</v>
      </c>
      <c r="H2081" s="4">
        <f>[1]Source!AV1936</f>
        <v>1</v>
      </c>
      <c r="I2081" s="4"/>
      <c r="J2081" s="33"/>
      <c r="K2081" s="33">
        <f>[1]Source!U1936</f>
        <v>119.52</v>
      </c>
      <c r="M2081"/>
      <c r="N2081"/>
      <c r="O2081"/>
      <c r="P2081"/>
      <c r="Q2081"/>
    </row>
    <row r="2082" spans="1:33" ht="15" x14ac:dyDescent="0.25">
      <c r="A2082" s="35"/>
      <c r="B2082" s="35"/>
      <c r="C2082" s="35"/>
      <c r="D2082" s="35"/>
      <c r="E2082" s="35"/>
      <c r="F2082" s="35"/>
      <c r="G2082" s="35"/>
      <c r="H2082" s="35"/>
      <c r="I2082" s="36">
        <f>J2078+J2079+J2080</f>
        <v>59664.39</v>
      </c>
      <c r="J2082" s="36"/>
      <c r="K2082" s="37">
        <f>IF([1]Source!I1936&lt;&gt;0, ROUND(I2082/[1]Source!I1936, 2), 0)</f>
        <v>1797.12</v>
      </c>
      <c r="M2082"/>
      <c r="N2082"/>
      <c r="O2082"/>
      <c r="P2082"/>
      <c r="Q2082"/>
      <c r="AA2082" s="38">
        <f>I2082</f>
        <v>59664.39</v>
      </c>
    </row>
    <row r="2083" spans="1:33" x14ac:dyDescent="0.2">
      <c r="M2083"/>
      <c r="N2083"/>
      <c r="O2083"/>
      <c r="P2083"/>
      <c r="Q2083"/>
    </row>
    <row r="2084" spans="1:33" ht="15" x14ac:dyDescent="0.25">
      <c r="A2084" s="42" t="str">
        <f>CONCATENATE("Итого по подразделу: ",IF([1]Source!G1938&lt;&gt;"Новый подраздел", [1]Source!G1938, ""))</f>
        <v>Итого по подразделу: Уход за водоотводными лотками (633,4 п. м)</v>
      </c>
      <c r="B2084" s="42"/>
      <c r="C2084" s="42"/>
      <c r="D2084" s="42"/>
      <c r="E2084" s="42"/>
      <c r="F2084" s="42"/>
      <c r="G2084" s="42"/>
      <c r="H2084" s="42"/>
      <c r="I2084" s="43">
        <f>SUM(AA1984:AA2083)</f>
        <v>5171230.3999999994</v>
      </c>
      <c r="J2084" s="44"/>
      <c r="K2084" s="47"/>
      <c r="L2084" s="38">
        <f>I2084</f>
        <v>5171230.3999999994</v>
      </c>
      <c r="M2084" s="2">
        <f>ROUND(I2084*$I$4874,2)</f>
        <v>3734698.01</v>
      </c>
      <c r="N2084" s="2">
        <f>ROUND(M2084*1.2/105*100,2)</f>
        <v>4268226.3</v>
      </c>
      <c r="O2084" s="2">
        <f>ROUND(N2084*0.05,2)</f>
        <v>213411.32</v>
      </c>
      <c r="P2084" s="2">
        <f>N2084+O2084</f>
        <v>4481637.62</v>
      </c>
      <c r="Q2084" s="3">
        <v>62</v>
      </c>
      <c r="S2084" s="2">
        <v>580788.25</v>
      </c>
    </row>
    <row r="2085" spans="1:33" x14ac:dyDescent="0.2">
      <c r="M2085"/>
      <c r="N2085"/>
      <c r="O2085"/>
      <c r="P2085"/>
      <c r="Q2085"/>
    </row>
    <row r="2086" spans="1:33" x14ac:dyDescent="0.2">
      <c r="M2086"/>
      <c r="N2086"/>
      <c r="O2086"/>
      <c r="P2086"/>
      <c r="Q2086"/>
    </row>
    <row r="2087" spans="1:33" ht="15" x14ac:dyDescent="0.25">
      <c r="A2087" s="42" t="str">
        <f>CONCATENATE("Итого по разделу: ",IF([1]Source!G1968&lt;&gt;"Новый раздел", [1]Source!G1968, ""))</f>
        <v>Итого по разделу: "Патриаршее подворье" ( S= 4987,1м2)</v>
      </c>
      <c r="B2087" s="42"/>
      <c r="C2087" s="42"/>
      <c r="D2087" s="42"/>
      <c r="E2087" s="42"/>
      <c r="F2087" s="42"/>
      <c r="G2087" s="42"/>
      <c r="H2087" s="42"/>
      <c r="I2087" s="43">
        <f>SUM(AA1835:AA2086)</f>
        <v>20592551.679999996</v>
      </c>
      <c r="J2087" s="44"/>
      <c r="K2087" s="47"/>
      <c r="L2087" s="38">
        <f>I2087</f>
        <v>20592551.679999996</v>
      </c>
      <c r="M2087" s="2">
        <f>M1916+M1932+M1958+M1966+M1981+M2084</f>
        <v>14872081.85</v>
      </c>
      <c r="N2087" s="2">
        <f>N1916+N1932+N1958+N1966+N1981+N2084</f>
        <v>16996664.98</v>
      </c>
      <c r="O2087" s="2">
        <f>ROUND(N2087*0.05,2)</f>
        <v>849833.25</v>
      </c>
      <c r="P2087" s="2">
        <f>SUM(P1916:P2084)</f>
        <v>17846498.219999999</v>
      </c>
      <c r="Q2087" s="48"/>
      <c r="R2087">
        <v>2</v>
      </c>
    </row>
    <row r="2088" spans="1:33" x14ac:dyDescent="0.2">
      <c r="M2088"/>
      <c r="N2088"/>
      <c r="O2088"/>
      <c r="P2088"/>
      <c r="Q2088"/>
    </row>
    <row r="2089" spans="1:33" x14ac:dyDescent="0.2">
      <c r="M2089"/>
      <c r="N2089"/>
      <c r="O2089"/>
      <c r="P2089"/>
      <c r="Q2089"/>
    </row>
    <row r="2090" spans="1:33" ht="16.5" x14ac:dyDescent="0.25">
      <c r="A2090" s="29" t="str">
        <f>CONCATENATE("Раздел: ",IF([1]Source!G1998&lt;&gt;"Новый раздел", [1]Source!G1998, ""))</f>
        <v>Раздел: Содержание покрытий тротуара "  Храма зачатия правденной Анны". ( S= 1262,2м2).</v>
      </c>
      <c r="B2090" s="29"/>
      <c r="C2090" s="29"/>
      <c r="D2090" s="29"/>
      <c r="E2090" s="29"/>
      <c r="F2090" s="29"/>
      <c r="G2090" s="29"/>
      <c r="H2090" s="29"/>
      <c r="I2090" s="29"/>
      <c r="J2090" s="29"/>
      <c r="K2090" s="29"/>
      <c r="M2090"/>
      <c r="N2090"/>
      <c r="O2090"/>
      <c r="P2090"/>
      <c r="Q2090"/>
    </row>
    <row r="2091" spans="1:33" x14ac:dyDescent="0.2">
      <c r="M2091"/>
      <c r="N2091"/>
      <c r="O2091"/>
      <c r="P2091"/>
      <c r="Q2091"/>
    </row>
    <row r="2092" spans="1:33" ht="16.5" x14ac:dyDescent="0.25">
      <c r="A2092" s="29" t="str">
        <f>CONCATENATE("Подраздел: ",IF([1]Source!G2002&lt;&gt;"Новый подраздел", [1]Source!G2002, ""))</f>
        <v>Подраздел: Содержание покрытий.</v>
      </c>
      <c r="B2092" s="29"/>
      <c r="C2092" s="29"/>
      <c r="D2092" s="29"/>
      <c r="E2092" s="29"/>
      <c r="F2092" s="29"/>
      <c r="G2092" s="29"/>
      <c r="H2092" s="29"/>
      <c r="I2092" s="29"/>
      <c r="J2092" s="29"/>
      <c r="K2092" s="29"/>
      <c r="M2092"/>
      <c r="N2092"/>
      <c r="O2092"/>
      <c r="P2092"/>
      <c r="Q2092"/>
    </row>
    <row r="2093" spans="1:33" ht="28.5" x14ac:dyDescent="0.2">
      <c r="A2093" s="31">
        <v>291</v>
      </c>
      <c r="B2093" s="31" t="str">
        <f>[1]Source!F2006</f>
        <v>калькуляция</v>
      </c>
      <c r="C2093" s="31" t="str">
        <f>[1]Source!G2006</f>
        <v>Подметание дорожек  вручную ( S=1262,2 м2)</v>
      </c>
      <c r="D2093" s="32" t="str">
        <f>[1]Source!H2006</f>
        <v>м2</v>
      </c>
      <c r="E2093" s="4">
        <f>[1]Source!I2006</f>
        <v>1262.2</v>
      </c>
      <c r="F2093" s="33"/>
      <c r="G2093" s="34"/>
      <c r="H2093" s="4"/>
      <c r="I2093" s="4"/>
      <c r="J2093" s="33"/>
      <c r="K2093" s="33"/>
      <c r="M2093"/>
      <c r="N2093"/>
      <c r="O2093"/>
      <c r="P2093"/>
      <c r="Q2093"/>
      <c r="AB2093">
        <f>ROUND(([1]Source!BZ2006/100)*ROUND(([1]Source!AF2006*[1]Source!AV2006)*[1]Source!I2006, 2), 2)</f>
        <v>0</v>
      </c>
      <c r="AC2093">
        <f>[1]Source!X2006</f>
        <v>0</v>
      </c>
      <c r="AD2093">
        <f>ROUND(([1]Source!CA2006/100)*ROUND(([1]Source!AF2006*[1]Source!AV2006)*[1]Source!I2006, 2), 2)</f>
        <v>0</v>
      </c>
      <c r="AE2093">
        <f>[1]Source!Y2006</f>
        <v>0</v>
      </c>
      <c r="AF2093">
        <f>ROUND((175/100)*ROUND(([1]Source!AE2006*[1]Source!AV2006)*[1]Source!I2006, 2), 2)</f>
        <v>0</v>
      </c>
      <c r="AG2093">
        <f>ROUND((108/100)*ROUND([1]Source!CS2006*[1]Source!I2006, 2), 2)</f>
        <v>0</v>
      </c>
    </row>
    <row r="2094" spans="1:33" ht="14.25" x14ac:dyDescent="0.2">
      <c r="A2094" s="31"/>
      <c r="B2094" s="31"/>
      <c r="C2094" s="31" t="s">
        <v>34</v>
      </c>
      <c r="D2094" s="32"/>
      <c r="E2094" s="4"/>
      <c r="F2094" s="33">
        <f>[1]Source!AO2006</f>
        <v>1.32</v>
      </c>
      <c r="G2094" s="34" t="str">
        <f>[1]Source!DG2006</f>
        <v>)*4*164</v>
      </c>
      <c r="H2094" s="4">
        <f>[1]Source!AV2006</f>
        <v>1</v>
      </c>
      <c r="I2094" s="4">
        <f>IF([1]Source!BA2006&lt;&gt; 0, [1]Source!BA2006, 1)</f>
        <v>1</v>
      </c>
      <c r="J2094" s="33">
        <f>[1]Source!S2006</f>
        <v>1092964.22</v>
      </c>
      <c r="K2094" s="33"/>
      <c r="M2094"/>
      <c r="N2094"/>
      <c r="O2094"/>
      <c r="P2094"/>
      <c r="Q2094"/>
    </row>
    <row r="2095" spans="1:33" ht="15" x14ac:dyDescent="0.25">
      <c r="A2095" s="35"/>
      <c r="B2095" s="35"/>
      <c r="C2095" s="35"/>
      <c r="D2095" s="35"/>
      <c r="E2095" s="35"/>
      <c r="F2095" s="35"/>
      <c r="G2095" s="35"/>
      <c r="H2095" s="35"/>
      <c r="I2095" s="36">
        <f>J2094</f>
        <v>1092964.22</v>
      </c>
      <c r="J2095" s="36"/>
      <c r="K2095" s="37">
        <f>IF([1]Source!I2006&lt;&gt;0, ROUND(I2095/[1]Source!I2006, 2), 0)</f>
        <v>865.92</v>
      </c>
      <c r="M2095"/>
      <c r="N2095"/>
      <c r="O2095"/>
      <c r="P2095"/>
      <c r="Q2095"/>
      <c r="AA2095" s="38">
        <f>I2095</f>
        <v>1092964.22</v>
      </c>
    </row>
    <row r="2096" spans="1:33" ht="42.75" x14ac:dyDescent="0.2">
      <c r="A2096" s="31">
        <v>292</v>
      </c>
      <c r="B2096" s="31" t="str">
        <f>[1]Source!F2007</f>
        <v>5.3-1102-8-1/1</v>
      </c>
      <c r="C2096" s="31" t="str">
        <f>[1]Source!G2007</f>
        <v>Уборка свежевыпавшего снега вручную толщиной слоя до 10 см ( 1262,2м2 * 0,8*0,7*0,5 = 353,42м2 )</v>
      </c>
      <c r="D2096" s="32" t="str">
        <f>[1]Source!H2007</f>
        <v>100 м2</v>
      </c>
      <c r="E2096" s="4">
        <f>[1]Source!I2007</f>
        <v>3.5341999999999998</v>
      </c>
      <c r="F2096" s="33"/>
      <c r="G2096" s="34"/>
      <c r="H2096" s="4"/>
      <c r="I2096" s="4"/>
      <c r="J2096" s="33"/>
      <c r="K2096" s="33"/>
      <c r="M2096"/>
      <c r="N2096"/>
      <c r="O2096"/>
      <c r="P2096"/>
      <c r="Q2096"/>
      <c r="AB2096">
        <f>ROUND(([1]Source!BZ2007/100)*ROUND(([1]Source!AF2007*[1]Source!AV2007)*[1]Source!I2007, 2), 2)</f>
        <v>267909.89</v>
      </c>
      <c r="AC2096">
        <f>[1]Source!X2007</f>
        <v>267909.89</v>
      </c>
      <c r="AD2096">
        <f>ROUND(([1]Source!CA2007/100)*ROUND(([1]Source!AF2007*[1]Source!AV2007)*[1]Source!I2007, 2), 2)</f>
        <v>38272.839999999997</v>
      </c>
      <c r="AE2096">
        <f>[1]Source!Y2007</f>
        <v>38272.839999999997</v>
      </c>
      <c r="AF2096">
        <f>ROUND((175/100)*ROUND(([1]Source!AE2007*[1]Source!AV2007)*[1]Source!I2007, 2), 2)</f>
        <v>0</v>
      </c>
      <c r="AG2096">
        <f>ROUND((108/100)*ROUND([1]Source!CS2007*[1]Source!I2007, 2), 2)</f>
        <v>0</v>
      </c>
    </row>
    <row r="2097" spans="1:33" x14ac:dyDescent="0.2">
      <c r="C2097" s="40" t="str">
        <f>"Объем: "&amp;[1]Source!I2007&amp;"=353,42/"&amp;"100"</f>
        <v>Объем: 3,5342=353,42/100</v>
      </c>
      <c r="M2097"/>
      <c r="N2097"/>
      <c r="O2097"/>
      <c r="P2097"/>
      <c r="Q2097"/>
    </row>
    <row r="2098" spans="1:33" ht="14.25" x14ac:dyDescent="0.2">
      <c r="A2098" s="31"/>
      <c r="B2098" s="31"/>
      <c r="C2098" s="31" t="s">
        <v>34</v>
      </c>
      <c r="D2098" s="32"/>
      <c r="E2098" s="4"/>
      <c r="F2098" s="33">
        <f>[1]Source!AO2007</f>
        <v>161.15</v>
      </c>
      <c r="G2098" s="34" t="str">
        <f>[1]Source!DG2007</f>
        <v>*4*168</v>
      </c>
      <c r="H2098" s="4">
        <f>[1]Source!AV2007</f>
        <v>1</v>
      </c>
      <c r="I2098" s="4">
        <f>IF([1]Source!BA2007&lt;&gt; 0, [1]Source!BA2007, 1)</f>
        <v>1</v>
      </c>
      <c r="J2098" s="33">
        <f>[1]Source!S2007</f>
        <v>382728.41</v>
      </c>
      <c r="K2098" s="33"/>
      <c r="M2098"/>
      <c r="N2098"/>
      <c r="O2098"/>
      <c r="P2098"/>
      <c r="Q2098"/>
    </row>
    <row r="2099" spans="1:33" ht="14.25" x14ac:dyDescent="0.2">
      <c r="A2099" s="31"/>
      <c r="B2099" s="31"/>
      <c r="C2099" s="31" t="s">
        <v>40</v>
      </c>
      <c r="D2099" s="32" t="s">
        <v>39</v>
      </c>
      <c r="E2099" s="4">
        <f>[1]Source!AT2007</f>
        <v>70</v>
      </c>
      <c r="F2099" s="33"/>
      <c r="G2099" s="34"/>
      <c r="H2099" s="4"/>
      <c r="I2099" s="4"/>
      <c r="J2099" s="33">
        <f>SUM(AC2096:AC2098)</f>
        <v>267909.89</v>
      </c>
      <c r="K2099" s="33"/>
      <c r="M2099"/>
      <c r="N2099"/>
      <c r="O2099"/>
      <c r="P2099"/>
      <c r="Q2099"/>
    </row>
    <row r="2100" spans="1:33" ht="14.25" x14ac:dyDescent="0.2">
      <c r="A2100" s="31"/>
      <c r="B2100" s="31"/>
      <c r="C2100" s="31" t="s">
        <v>41</v>
      </c>
      <c r="D2100" s="32" t="s">
        <v>39</v>
      </c>
      <c r="E2100" s="4">
        <f>[1]Source!AU2007</f>
        <v>10</v>
      </c>
      <c r="F2100" s="33"/>
      <c r="G2100" s="34"/>
      <c r="H2100" s="4"/>
      <c r="I2100" s="4"/>
      <c r="J2100" s="33">
        <f>SUM(AE2096:AE2099)</f>
        <v>38272.839999999997</v>
      </c>
      <c r="K2100" s="33"/>
      <c r="M2100"/>
      <c r="N2100"/>
      <c r="O2100"/>
      <c r="P2100"/>
      <c r="Q2100"/>
    </row>
    <row r="2101" spans="1:33" ht="14.25" x14ac:dyDescent="0.2">
      <c r="A2101" s="31"/>
      <c r="B2101" s="31"/>
      <c r="C2101" s="31" t="s">
        <v>42</v>
      </c>
      <c r="D2101" s="32" t="s">
        <v>43</v>
      </c>
      <c r="E2101" s="4">
        <f>[1]Source!AQ2007</f>
        <v>0.65</v>
      </c>
      <c r="F2101" s="33"/>
      <c r="G2101" s="34" t="str">
        <f>[1]Source!DI2007</f>
        <v>*4*168</v>
      </c>
      <c r="H2101" s="4">
        <f>[1]Source!AV2007</f>
        <v>1</v>
      </c>
      <c r="I2101" s="4"/>
      <c r="J2101" s="33"/>
      <c r="K2101" s="33">
        <f>[1]Source!U2007</f>
        <v>1543.73856</v>
      </c>
      <c r="M2101"/>
      <c r="N2101"/>
      <c r="O2101"/>
      <c r="P2101"/>
      <c r="Q2101"/>
    </row>
    <row r="2102" spans="1:33" ht="15" x14ac:dyDescent="0.25">
      <c r="A2102" s="35"/>
      <c r="B2102" s="35"/>
      <c r="C2102" s="35"/>
      <c r="D2102" s="35"/>
      <c r="E2102" s="35"/>
      <c r="F2102" s="35"/>
      <c r="G2102" s="35"/>
      <c r="H2102" s="35"/>
      <c r="I2102" s="36">
        <f>J2098+J2099+J2100</f>
        <v>688911.14</v>
      </c>
      <c r="J2102" s="36"/>
      <c r="K2102" s="37">
        <f>IF([1]Source!I2007&lt;&gt;0, ROUND(I2102/[1]Source!I2007, 2), 0)</f>
        <v>194927.04</v>
      </c>
      <c r="M2102"/>
      <c r="N2102"/>
      <c r="O2102"/>
      <c r="P2102"/>
      <c r="Q2102"/>
      <c r="AA2102" s="38">
        <f>I2102</f>
        <v>688911.14</v>
      </c>
    </row>
    <row r="2103" spans="1:33" ht="42.75" x14ac:dyDescent="0.2">
      <c r="A2103" s="31">
        <v>293</v>
      </c>
      <c r="B2103" s="31" t="str">
        <f>[1]Source!F2008</f>
        <v>5.3-1102-8-3/1</v>
      </c>
      <c r="C2103" s="31" t="str">
        <f>[1]Source!G2008</f>
        <v>Уборка слежавшегося снега вручную(S=1262,2 м2*0,8*0,7*0,5=353,42м2)</v>
      </c>
      <c r="D2103" s="32" t="str">
        <f>[1]Source!H2008</f>
        <v>100 м2</v>
      </c>
      <c r="E2103" s="4">
        <f>[1]Source!I2008</f>
        <v>3.5341999999999998</v>
      </c>
      <c r="F2103" s="33"/>
      <c r="G2103" s="34"/>
      <c r="H2103" s="4"/>
      <c r="I2103" s="4"/>
      <c r="J2103" s="33"/>
      <c r="K2103" s="33"/>
      <c r="M2103"/>
      <c r="N2103"/>
      <c r="O2103"/>
      <c r="P2103"/>
      <c r="Q2103"/>
      <c r="AB2103">
        <f>ROUND(([1]Source!BZ2008/100)*ROUND(([1]Source!AF2008*[1]Source!AV2008)*[1]Source!I2008, 2), 2)</f>
        <v>157657.85999999999</v>
      </c>
      <c r="AC2103">
        <f>[1]Source!X2008</f>
        <v>157657.85999999999</v>
      </c>
      <c r="AD2103">
        <f>ROUND(([1]Source!CA2008/100)*ROUND(([1]Source!AF2008*[1]Source!AV2008)*[1]Source!I2008, 2), 2)</f>
        <v>22522.55</v>
      </c>
      <c r="AE2103">
        <f>[1]Source!Y2008</f>
        <v>22522.55</v>
      </c>
      <c r="AF2103">
        <f>ROUND((175/100)*ROUND(([1]Source!AE2008*[1]Source!AV2008)*[1]Source!I2008, 2), 2)</f>
        <v>0</v>
      </c>
      <c r="AG2103">
        <f>ROUND((108/100)*ROUND([1]Source!CS2008*[1]Source!I2008, 2), 2)</f>
        <v>0</v>
      </c>
    </row>
    <row r="2104" spans="1:33" x14ac:dyDescent="0.2">
      <c r="C2104" s="40" t="str">
        <f>"Объем: "&amp;[1]Source!I2008&amp;"=353,42/"&amp;"100"</f>
        <v>Объем: 3,5342=353,42/100</v>
      </c>
      <c r="M2104"/>
      <c r="N2104"/>
      <c r="O2104"/>
      <c r="P2104"/>
      <c r="Q2104"/>
    </row>
    <row r="2105" spans="1:33" ht="14.25" x14ac:dyDescent="0.2">
      <c r="A2105" s="31"/>
      <c r="B2105" s="31"/>
      <c r="C2105" s="31" t="s">
        <v>34</v>
      </c>
      <c r="D2105" s="32"/>
      <c r="E2105" s="4"/>
      <c r="F2105" s="33">
        <f>[1]Source!AO2008</f>
        <v>379.33</v>
      </c>
      <c r="G2105" s="34" t="str">
        <f>[1]Source!DG2008</f>
        <v>)*1*168</v>
      </c>
      <c r="H2105" s="4">
        <f>[1]Source!AV2008</f>
        <v>1</v>
      </c>
      <c r="I2105" s="4">
        <f>IF([1]Source!BA2008&lt;&gt; 0, [1]Source!BA2008, 1)</f>
        <v>1</v>
      </c>
      <c r="J2105" s="33">
        <f>[1]Source!S2008</f>
        <v>225225.52</v>
      </c>
      <c r="K2105" s="33"/>
      <c r="M2105"/>
      <c r="N2105"/>
      <c r="O2105"/>
      <c r="P2105"/>
      <c r="Q2105"/>
    </row>
    <row r="2106" spans="1:33" ht="14.25" x14ac:dyDescent="0.2">
      <c r="A2106" s="31"/>
      <c r="B2106" s="31"/>
      <c r="C2106" s="31" t="s">
        <v>40</v>
      </c>
      <c r="D2106" s="32" t="s">
        <v>39</v>
      </c>
      <c r="E2106" s="4">
        <f>[1]Source!AT2008</f>
        <v>70</v>
      </c>
      <c r="F2106" s="33"/>
      <c r="G2106" s="34"/>
      <c r="H2106" s="4"/>
      <c r="I2106" s="4"/>
      <c r="J2106" s="33">
        <f>SUM(AC2103:AC2105)</f>
        <v>157657.85999999999</v>
      </c>
      <c r="K2106" s="33"/>
      <c r="M2106"/>
      <c r="N2106"/>
      <c r="O2106"/>
      <c r="P2106"/>
      <c r="Q2106"/>
    </row>
    <row r="2107" spans="1:33" ht="14.25" x14ac:dyDescent="0.2">
      <c r="A2107" s="31"/>
      <c r="B2107" s="31"/>
      <c r="C2107" s="31" t="s">
        <v>41</v>
      </c>
      <c r="D2107" s="32" t="s">
        <v>39</v>
      </c>
      <c r="E2107" s="4">
        <f>[1]Source!AU2008</f>
        <v>10</v>
      </c>
      <c r="F2107" s="33"/>
      <c r="G2107" s="34"/>
      <c r="H2107" s="4"/>
      <c r="I2107" s="4"/>
      <c r="J2107" s="33">
        <f>SUM(AE2103:AE2106)</f>
        <v>22522.55</v>
      </c>
      <c r="K2107" s="33"/>
      <c r="M2107"/>
      <c r="N2107"/>
      <c r="O2107"/>
      <c r="P2107"/>
      <c r="Q2107"/>
    </row>
    <row r="2108" spans="1:33" ht="14.25" x14ac:dyDescent="0.2">
      <c r="A2108" s="31"/>
      <c r="B2108" s="31"/>
      <c r="C2108" s="31" t="s">
        <v>42</v>
      </c>
      <c r="D2108" s="32" t="s">
        <v>43</v>
      </c>
      <c r="E2108" s="4">
        <f>[1]Source!AQ2008</f>
        <v>1.53</v>
      </c>
      <c r="F2108" s="33"/>
      <c r="G2108" s="34" t="str">
        <f>[1]Source!DI2008</f>
        <v>)*1*168</v>
      </c>
      <c r="H2108" s="4">
        <f>[1]Source!AV2008</f>
        <v>1</v>
      </c>
      <c r="I2108" s="4"/>
      <c r="J2108" s="33"/>
      <c r="K2108" s="33">
        <f>[1]Source!U2008</f>
        <v>908.43076800000006</v>
      </c>
      <c r="M2108"/>
      <c r="N2108"/>
      <c r="O2108"/>
      <c r="P2108"/>
      <c r="Q2108"/>
    </row>
    <row r="2109" spans="1:33" ht="15" x14ac:dyDescent="0.25">
      <c r="A2109" s="35"/>
      <c r="B2109" s="35"/>
      <c r="C2109" s="35"/>
      <c r="D2109" s="35"/>
      <c r="E2109" s="35"/>
      <c r="F2109" s="35"/>
      <c r="G2109" s="35"/>
      <c r="H2109" s="35"/>
      <c r="I2109" s="36">
        <f>J2105+J2106+J2107</f>
        <v>405405.93</v>
      </c>
      <c r="J2109" s="36"/>
      <c r="K2109" s="37">
        <f>IF([1]Source!I2008&lt;&gt;0, ROUND(I2109/[1]Source!I2008, 2), 0)</f>
        <v>114709.39</v>
      </c>
      <c r="M2109"/>
      <c r="N2109"/>
      <c r="O2109"/>
      <c r="P2109"/>
      <c r="Q2109"/>
      <c r="AA2109" s="38">
        <f>I2109</f>
        <v>405405.93</v>
      </c>
    </row>
    <row r="2110" spans="1:33" ht="42.75" x14ac:dyDescent="0.2">
      <c r="A2110" s="31">
        <v>294</v>
      </c>
      <c r="B2110" s="31" t="str">
        <f>[1]Source!F2009</f>
        <v>5.3-1102-8-1/1</v>
      </c>
      <c r="C2110" s="31" t="str">
        <f>[1]Source!G2009</f>
        <v>Уборка свежевыпавшего снега вручную толщиной слоя до 10 см ( 1262,2м2 * 0,8*0,3*0,5 =  151,46 м2 )</v>
      </c>
      <c r="D2110" s="32" t="str">
        <f>[1]Source!H2009</f>
        <v>100 м2</v>
      </c>
      <c r="E2110" s="4">
        <f>[1]Source!I2009</f>
        <v>1.5145999999999999</v>
      </c>
      <c r="F2110" s="33"/>
      <c r="G2110" s="34"/>
      <c r="H2110" s="4"/>
      <c r="I2110" s="4"/>
      <c r="J2110" s="33"/>
      <c r="K2110" s="33"/>
      <c r="M2110"/>
      <c r="N2110"/>
      <c r="O2110"/>
      <c r="P2110"/>
      <c r="Q2110"/>
      <c r="AB2110">
        <f>ROUND(([1]Source!BZ2009/100)*ROUND(([1]Source!AF2009*[1]Source!AV2009)*[1]Source!I2009, 2), 2)</f>
        <v>114814.19</v>
      </c>
      <c r="AC2110">
        <f>[1]Source!X2009</f>
        <v>114814.19</v>
      </c>
      <c r="AD2110">
        <f>ROUND(([1]Source!CA2009/100)*ROUND(([1]Source!AF2009*[1]Source!AV2009)*[1]Source!I2009, 2), 2)</f>
        <v>16402.03</v>
      </c>
      <c r="AE2110">
        <f>[1]Source!Y2009</f>
        <v>16402.03</v>
      </c>
      <c r="AF2110">
        <f>ROUND((175/100)*ROUND(([1]Source!AE2009*[1]Source!AV2009)*[1]Source!I2009, 2), 2)</f>
        <v>0</v>
      </c>
      <c r="AG2110">
        <f>ROUND((108/100)*ROUND([1]Source!CS2009*[1]Source!I2009, 2), 2)</f>
        <v>0</v>
      </c>
    </row>
    <row r="2111" spans="1:33" x14ac:dyDescent="0.2">
      <c r="C2111" s="40" t="str">
        <f>"Объем: "&amp;[1]Source!I2009&amp;"=151,46/"&amp;"100"</f>
        <v>Объем: 1,5146=151,46/100</v>
      </c>
      <c r="M2111"/>
      <c r="N2111"/>
      <c r="O2111"/>
      <c r="P2111"/>
      <c r="Q2111"/>
    </row>
    <row r="2112" spans="1:33" ht="14.25" x14ac:dyDescent="0.2">
      <c r="A2112" s="31"/>
      <c r="B2112" s="31"/>
      <c r="C2112" s="31" t="s">
        <v>34</v>
      </c>
      <c r="D2112" s="32"/>
      <c r="E2112" s="4"/>
      <c r="F2112" s="33">
        <f>[1]Source!AO2009</f>
        <v>161.15</v>
      </c>
      <c r="G2112" s="34" t="str">
        <f>[1]Source!DG2009</f>
        <v>*4*168</v>
      </c>
      <c r="H2112" s="4">
        <f>[1]Source!AV2009</f>
        <v>1</v>
      </c>
      <c r="I2112" s="4">
        <f>IF([1]Source!BA2009&lt;&gt; 0, [1]Source!BA2009, 1)</f>
        <v>1</v>
      </c>
      <c r="J2112" s="33">
        <f>[1]Source!S2009</f>
        <v>164020.26999999999</v>
      </c>
      <c r="K2112" s="33"/>
      <c r="M2112"/>
      <c r="N2112"/>
      <c r="O2112"/>
      <c r="P2112"/>
      <c r="Q2112"/>
    </row>
    <row r="2113" spans="1:33" ht="14.25" x14ac:dyDescent="0.2">
      <c r="A2113" s="31"/>
      <c r="B2113" s="31"/>
      <c r="C2113" s="31" t="s">
        <v>40</v>
      </c>
      <c r="D2113" s="32" t="s">
        <v>39</v>
      </c>
      <c r="E2113" s="4">
        <f>[1]Source!AT2009</f>
        <v>70</v>
      </c>
      <c r="F2113" s="33"/>
      <c r="G2113" s="34"/>
      <c r="H2113" s="4"/>
      <c r="I2113" s="4"/>
      <c r="J2113" s="33">
        <f>SUM(AC2110:AC2112)</f>
        <v>114814.19</v>
      </c>
      <c r="K2113" s="33"/>
      <c r="M2113"/>
      <c r="N2113"/>
      <c r="O2113"/>
      <c r="P2113"/>
      <c r="Q2113"/>
    </row>
    <row r="2114" spans="1:33" ht="14.25" x14ac:dyDescent="0.2">
      <c r="A2114" s="31"/>
      <c r="B2114" s="31"/>
      <c r="C2114" s="31" t="s">
        <v>41</v>
      </c>
      <c r="D2114" s="32" t="s">
        <v>39</v>
      </c>
      <c r="E2114" s="4">
        <f>[1]Source!AU2009</f>
        <v>10</v>
      </c>
      <c r="F2114" s="33"/>
      <c r="G2114" s="34"/>
      <c r="H2114" s="4"/>
      <c r="I2114" s="4"/>
      <c r="J2114" s="33">
        <f>SUM(AE2110:AE2113)</f>
        <v>16402.03</v>
      </c>
      <c r="K2114" s="33"/>
      <c r="M2114"/>
      <c r="N2114"/>
      <c r="O2114"/>
      <c r="P2114"/>
      <c r="Q2114"/>
    </row>
    <row r="2115" spans="1:33" ht="14.25" x14ac:dyDescent="0.2">
      <c r="A2115" s="31"/>
      <c r="B2115" s="31"/>
      <c r="C2115" s="31" t="s">
        <v>42</v>
      </c>
      <c r="D2115" s="32" t="s">
        <v>43</v>
      </c>
      <c r="E2115" s="4">
        <f>[1]Source!AQ2009</f>
        <v>0.65</v>
      </c>
      <c r="F2115" s="33"/>
      <c r="G2115" s="34" t="str">
        <f>[1]Source!DI2009</f>
        <v>*4*168</v>
      </c>
      <c r="H2115" s="4">
        <f>[1]Source!AV2009</f>
        <v>1</v>
      </c>
      <c r="I2115" s="4"/>
      <c r="J2115" s="33"/>
      <c r="K2115" s="33">
        <f>[1]Source!U2009</f>
        <v>661.57727999999997</v>
      </c>
      <c r="M2115"/>
      <c r="N2115"/>
      <c r="O2115"/>
      <c r="P2115"/>
      <c r="Q2115"/>
    </row>
    <row r="2116" spans="1:33" ht="15" x14ac:dyDescent="0.25">
      <c r="A2116" s="35"/>
      <c r="B2116" s="35"/>
      <c r="C2116" s="35"/>
      <c r="D2116" s="35"/>
      <c r="E2116" s="35"/>
      <c r="F2116" s="35"/>
      <c r="G2116" s="35"/>
      <c r="H2116" s="35"/>
      <c r="I2116" s="36">
        <f>J2112+J2113+J2114</f>
        <v>295236.49</v>
      </c>
      <c r="J2116" s="36"/>
      <c r="K2116" s="37">
        <f>IF([1]Source!I2009&lt;&gt;0, ROUND(I2116/[1]Source!I2009, 2), 0)</f>
        <v>194927.04</v>
      </c>
      <c r="M2116"/>
      <c r="N2116"/>
      <c r="O2116"/>
      <c r="P2116"/>
      <c r="Q2116"/>
      <c r="AA2116" s="38">
        <f>I2116</f>
        <v>295236.49</v>
      </c>
    </row>
    <row r="2117" spans="1:33" ht="57" x14ac:dyDescent="0.2">
      <c r="A2117" s="31">
        <v>295</v>
      </c>
      <c r="B2117" s="31" t="str">
        <f>[1]Source!F2010</f>
        <v>5.3-1102-8-2/1</v>
      </c>
      <c r="C2117" s="31" t="str">
        <f>[1]Source!G2010</f>
        <v>Уборка свежевыпавшего снега вручную, добавлять на каждые следующие 10 см увеличения толщины слоя</v>
      </c>
      <c r="D2117" s="32" t="str">
        <f>[1]Source!H2010</f>
        <v>100 м2</v>
      </c>
      <c r="E2117" s="4">
        <f>[1]Source!I2010</f>
        <v>1.5145999999999999</v>
      </c>
      <c r="F2117" s="33"/>
      <c r="G2117" s="34"/>
      <c r="H2117" s="4"/>
      <c r="I2117" s="4"/>
      <c r="J2117" s="33"/>
      <c r="K2117" s="33"/>
      <c r="M2117"/>
      <c r="N2117"/>
      <c r="O2117"/>
      <c r="P2117"/>
      <c r="Q2117"/>
      <c r="AB2117">
        <f>ROUND(([1]Source!BZ2010/100)*ROUND(([1]Source!AF2010*[1]Source!AV2010)*[1]Source!I2010, 2), 2)</f>
        <v>83023.88</v>
      </c>
      <c r="AC2117">
        <f>[1]Source!X2010</f>
        <v>83023.88</v>
      </c>
      <c r="AD2117">
        <f>ROUND(([1]Source!CA2010/100)*ROUND(([1]Source!AF2010*[1]Source!AV2010)*[1]Source!I2010, 2), 2)</f>
        <v>11860.55</v>
      </c>
      <c r="AE2117">
        <f>[1]Source!Y2010</f>
        <v>11860.55</v>
      </c>
      <c r="AF2117">
        <f>ROUND((175/100)*ROUND(([1]Source!AE2010*[1]Source!AV2010)*[1]Source!I2010, 2), 2)</f>
        <v>0</v>
      </c>
      <c r="AG2117">
        <f>ROUND((108/100)*ROUND([1]Source!CS2010*[1]Source!I2010, 2), 2)</f>
        <v>0</v>
      </c>
    </row>
    <row r="2118" spans="1:33" x14ac:dyDescent="0.2">
      <c r="C2118" s="40" t="str">
        <f>"Объем: "&amp;[1]Source!I2010&amp;"=151,46/"&amp;"100"</f>
        <v>Объем: 1,5146=151,46/100</v>
      </c>
      <c r="M2118"/>
      <c r="N2118"/>
      <c r="O2118"/>
      <c r="P2118"/>
      <c r="Q2118"/>
    </row>
    <row r="2119" spans="1:33" ht="14.25" x14ac:dyDescent="0.2">
      <c r="A2119" s="31"/>
      <c r="B2119" s="31"/>
      <c r="C2119" s="31" t="s">
        <v>34</v>
      </c>
      <c r="D2119" s="32"/>
      <c r="E2119" s="4"/>
      <c r="F2119" s="33">
        <f>[1]Source!AO2010</f>
        <v>116.53</v>
      </c>
      <c r="G2119" s="34" t="str">
        <f>[1]Source!DG2010</f>
        <v>*4*168</v>
      </c>
      <c r="H2119" s="4">
        <f>[1]Source!AV2010</f>
        <v>1</v>
      </c>
      <c r="I2119" s="4">
        <f>IF([1]Source!BA2010&lt;&gt; 0, [1]Source!BA2010, 1)</f>
        <v>1</v>
      </c>
      <c r="J2119" s="33">
        <f>[1]Source!S2010</f>
        <v>118605.54</v>
      </c>
      <c r="K2119" s="33"/>
      <c r="M2119"/>
      <c r="N2119"/>
      <c r="O2119"/>
      <c r="P2119"/>
      <c r="Q2119"/>
    </row>
    <row r="2120" spans="1:33" ht="14.25" x14ac:dyDescent="0.2">
      <c r="A2120" s="31"/>
      <c r="B2120" s="31"/>
      <c r="C2120" s="31" t="s">
        <v>40</v>
      </c>
      <c r="D2120" s="32" t="s">
        <v>39</v>
      </c>
      <c r="E2120" s="4">
        <f>[1]Source!AT2010</f>
        <v>70</v>
      </c>
      <c r="F2120" s="33"/>
      <c r="G2120" s="34"/>
      <c r="H2120" s="4"/>
      <c r="I2120" s="4"/>
      <c r="J2120" s="33">
        <f>SUM(AC2117:AC2119)</f>
        <v>83023.88</v>
      </c>
      <c r="K2120" s="33"/>
      <c r="M2120"/>
      <c r="N2120"/>
      <c r="O2120"/>
      <c r="P2120"/>
      <c r="Q2120"/>
    </row>
    <row r="2121" spans="1:33" ht="14.25" x14ac:dyDescent="0.2">
      <c r="A2121" s="31"/>
      <c r="B2121" s="31"/>
      <c r="C2121" s="31" t="s">
        <v>41</v>
      </c>
      <c r="D2121" s="32" t="s">
        <v>39</v>
      </c>
      <c r="E2121" s="4">
        <f>[1]Source!AU2010</f>
        <v>10</v>
      </c>
      <c r="F2121" s="33"/>
      <c r="G2121" s="34"/>
      <c r="H2121" s="4"/>
      <c r="I2121" s="4"/>
      <c r="J2121" s="33">
        <f>SUM(AE2117:AE2120)</f>
        <v>11860.55</v>
      </c>
      <c r="K2121" s="33"/>
      <c r="M2121"/>
      <c r="N2121"/>
      <c r="O2121"/>
      <c r="P2121"/>
      <c r="Q2121"/>
    </row>
    <row r="2122" spans="1:33" ht="14.25" x14ac:dyDescent="0.2">
      <c r="A2122" s="31"/>
      <c r="B2122" s="31"/>
      <c r="C2122" s="31" t="s">
        <v>42</v>
      </c>
      <c r="D2122" s="32" t="s">
        <v>43</v>
      </c>
      <c r="E2122" s="4">
        <f>[1]Source!AQ2010</f>
        <v>0.47</v>
      </c>
      <c r="F2122" s="33"/>
      <c r="G2122" s="34" t="str">
        <f>[1]Source!DI2010</f>
        <v>*4*168</v>
      </c>
      <c r="H2122" s="4">
        <f>[1]Source!AV2010</f>
        <v>1</v>
      </c>
      <c r="I2122" s="4"/>
      <c r="J2122" s="33"/>
      <c r="K2122" s="33">
        <f>[1]Source!U2010</f>
        <v>478.37126399999994</v>
      </c>
      <c r="M2122"/>
      <c r="N2122"/>
      <c r="O2122"/>
      <c r="P2122"/>
      <c r="Q2122"/>
    </row>
    <row r="2123" spans="1:33" ht="15" x14ac:dyDescent="0.25">
      <c r="A2123" s="35"/>
      <c r="B2123" s="35"/>
      <c r="C2123" s="35"/>
      <c r="D2123" s="35"/>
      <c r="E2123" s="35"/>
      <c r="F2123" s="35"/>
      <c r="G2123" s="35"/>
      <c r="H2123" s="35"/>
      <c r="I2123" s="36">
        <f>J2119+J2120+J2121</f>
        <v>213489.96999999997</v>
      </c>
      <c r="J2123" s="36"/>
      <c r="K2123" s="37">
        <f>IF([1]Source!I2010&lt;&gt;0, ROUND(I2123/[1]Source!I2010, 2), 0)</f>
        <v>140954.69</v>
      </c>
      <c r="M2123"/>
      <c r="N2123"/>
      <c r="O2123"/>
      <c r="P2123"/>
      <c r="Q2123"/>
      <c r="AA2123" s="38">
        <f>I2123</f>
        <v>213489.96999999997</v>
      </c>
    </row>
    <row r="2124" spans="1:33" ht="57" x14ac:dyDescent="0.2">
      <c r="A2124" s="31">
        <v>296</v>
      </c>
      <c r="B2124" s="31" t="str">
        <f>[1]Source!F2011</f>
        <v>5.3-1102-24-1/1</v>
      </c>
      <c r="C2124" s="31" t="str">
        <f>[1]Source!G2011</f>
        <v>Уборка свежевыпавшего снега ручной самоходной машиной - ширина захвата 120 см ( S=1262,2м2*0,2=252,44 м2)</v>
      </c>
      <c r="D2124" s="32" t="str">
        <f>[1]Source!H2011</f>
        <v>100 м2</v>
      </c>
      <c r="E2124" s="4">
        <f>[1]Source!I2011</f>
        <v>2.5244</v>
      </c>
      <c r="F2124" s="33"/>
      <c r="G2124" s="34"/>
      <c r="H2124" s="4"/>
      <c r="I2124" s="4"/>
      <c r="J2124" s="33"/>
      <c r="K2124" s="33"/>
      <c r="M2124"/>
      <c r="N2124"/>
      <c r="O2124"/>
      <c r="P2124"/>
      <c r="Q2124"/>
      <c r="AB2124">
        <f>ROUND(([1]Source!BZ2011/100)*ROUND(([1]Source!AF2011*[1]Source!AV2011)*[1]Source!I2011, 2), 2)</f>
        <v>115256.59</v>
      </c>
      <c r="AC2124">
        <f>[1]Source!X2011</f>
        <v>115256.59</v>
      </c>
      <c r="AD2124">
        <f>ROUND(([1]Source!CA2011/100)*ROUND(([1]Source!AF2011*[1]Source!AV2011)*[1]Source!I2011, 2), 2)</f>
        <v>16465.23</v>
      </c>
      <c r="AE2124">
        <f>[1]Source!Y2011</f>
        <v>16465.23</v>
      </c>
      <c r="AF2124">
        <f>ROUND((175/100)*ROUND(([1]Source!AE2011*[1]Source!AV2011)*[1]Source!I2011, 2), 2)</f>
        <v>267.19</v>
      </c>
      <c r="AG2124">
        <f>ROUND((108/100)*ROUND([1]Source!CS2011*[1]Source!I2011, 2), 2)</f>
        <v>164.89</v>
      </c>
    </row>
    <row r="2125" spans="1:33" x14ac:dyDescent="0.2">
      <c r="C2125" s="40" t="str">
        <f>"Объем: "&amp;[1]Source!I2011&amp;"=252,44/"&amp;"100"</f>
        <v>Объем: 2,5244=252,44/100</v>
      </c>
      <c r="M2125"/>
      <c r="N2125"/>
      <c r="O2125"/>
      <c r="P2125"/>
      <c r="Q2125"/>
    </row>
    <row r="2126" spans="1:33" ht="14.25" x14ac:dyDescent="0.2">
      <c r="A2126" s="31"/>
      <c r="B2126" s="31"/>
      <c r="C2126" s="31" t="s">
        <v>34</v>
      </c>
      <c r="D2126" s="32"/>
      <c r="E2126" s="4"/>
      <c r="F2126" s="33">
        <f>[1]Source!AO2011</f>
        <v>97.06</v>
      </c>
      <c r="G2126" s="34" t="str">
        <f>[1]Source!DG2011</f>
        <v>*4*168</v>
      </c>
      <c r="H2126" s="4">
        <f>[1]Source!AV2011</f>
        <v>1</v>
      </c>
      <c r="I2126" s="4">
        <f>IF([1]Source!BA2011&lt;&gt; 0, [1]Source!BA2011, 1)</f>
        <v>1</v>
      </c>
      <c r="J2126" s="33">
        <f>[1]Source!S2011</f>
        <v>164652.26999999999</v>
      </c>
      <c r="K2126" s="33"/>
      <c r="M2126"/>
      <c r="N2126"/>
      <c r="O2126"/>
      <c r="P2126"/>
      <c r="Q2126"/>
    </row>
    <row r="2127" spans="1:33" ht="14.25" x14ac:dyDescent="0.2">
      <c r="A2127" s="31"/>
      <c r="B2127" s="31"/>
      <c r="C2127" s="31" t="s">
        <v>33</v>
      </c>
      <c r="D2127" s="32"/>
      <c r="E2127" s="4"/>
      <c r="F2127" s="33">
        <f>[1]Source!AM2011</f>
        <v>33.97</v>
      </c>
      <c r="G2127" s="34" t="str">
        <f>[1]Source!DE2011</f>
        <v>*4*168</v>
      </c>
      <c r="H2127" s="4">
        <f>[1]Source!AV2011</f>
        <v>1</v>
      </c>
      <c r="I2127" s="4">
        <f>IF([1]Source!BB2011&lt;&gt; 0, [1]Source!BB2011, 1)</f>
        <v>1</v>
      </c>
      <c r="J2127" s="33">
        <f>[1]Source!Q2011</f>
        <v>57626.6</v>
      </c>
      <c r="K2127" s="33"/>
      <c r="M2127"/>
      <c r="N2127"/>
      <c r="O2127"/>
      <c r="P2127"/>
      <c r="Q2127"/>
    </row>
    <row r="2128" spans="1:33" ht="14.25" x14ac:dyDescent="0.2">
      <c r="A2128" s="31"/>
      <c r="B2128" s="31"/>
      <c r="C2128" s="31" t="s">
        <v>37</v>
      </c>
      <c r="D2128" s="32"/>
      <c r="E2128" s="4"/>
      <c r="F2128" s="33">
        <f>[1]Source!AN2011</f>
        <v>0.09</v>
      </c>
      <c r="G2128" s="34" t="str">
        <f>[1]Source!DF2011</f>
        <v>*4*168</v>
      </c>
      <c r="H2128" s="4">
        <f>[1]Source!AV2011</f>
        <v>1</v>
      </c>
      <c r="I2128" s="4">
        <f>IF([1]Source!BS2011&lt;&gt; 0, [1]Source!BS2011, 1)</f>
        <v>1</v>
      </c>
      <c r="J2128" s="41">
        <f>[1]Source!R2011</f>
        <v>152.68</v>
      </c>
      <c r="K2128" s="33"/>
      <c r="M2128"/>
      <c r="N2128"/>
      <c r="O2128"/>
      <c r="P2128"/>
      <c r="Q2128"/>
    </row>
    <row r="2129" spans="1:33" ht="14.25" x14ac:dyDescent="0.2">
      <c r="A2129" s="31"/>
      <c r="B2129" s="31"/>
      <c r="C2129" s="31" t="s">
        <v>40</v>
      </c>
      <c r="D2129" s="32" t="s">
        <v>39</v>
      </c>
      <c r="E2129" s="4">
        <f>[1]Source!AT2011</f>
        <v>70</v>
      </c>
      <c r="F2129" s="33"/>
      <c r="G2129" s="34"/>
      <c r="H2129" s="4"/>
      <c r="I2129" s="4"/>
      <c r="J2129" s="33">
        <f>SUM(AC2124:AC2128)</f>
        <v>115256.59</v>
      </c>
      <c r="K2129" s="33"/>
      <c r="M2129"/>
      <c r="N2129"/>
      <c r="O2129"/>
      <c r="P2129"/>
      <c r="Q2129"/>
    </row>
    <row r="2130" spans="1:33" ht="14.25" x14ac:dyDescent="0.2">
      <c r="A2130" s="31"/>
      <c r="B2130" s="31"/>
      <c r="C2130" s="31" t="s">
        <v>41</v>
      </c>
      <c r="D2130" s="32" t="s">
        <v>39</v>
      </c>
      <c r="E2130" s="4">
        <f>[1]Source!AU2011</f>
        <v>10</v>
      </c>
      <c r="F2130" s="33"/>
      <c r="G2130" s="34"/>
      <c r="H2130" s="4"/>
      <c r="I2130" s="4"/>
      <c r="J2130" s="33">
        <f>SUM(AE2124:AE2129)</f>
        <v>16465.23</v>
      </c>
      <c r="K2130" s="33"/>
      <c r="M2130"/>
      <c r="N2130"/>
      <c r="O2130"/>
      <c r="P2130"/>
      <c r="Q2130"/>
    </row>
    <row r="2131" spans="1:33" ht="14.25" x14ac:dyDescent="0.2">
      <c r="A2131" s="31"/>
      <c r="B2131" s="31"/>
      <c r="C2131" s="31" t="s">
        <v>38</v>
      </c>
      <c r="D2131" s="32" t="s">
        <v>39</v>
      </c>
      <c r="E2131" s="4">
        <f>108</f>
        <v>108</v>
      </c>
      <c r="F2131" s="33"/>
      <c r="G2131" s="34"/>
      <c r="H2131" s="4"/>
      <c r="I2131" s="4"/>
      <c r="J2131" s="33">
        <f>SUM(AG2124:AG2130)</f>
        <v>164.89</v>
      </c>
      <c r="K2131" s="33"/>
      <c r="M2131"/>
      <c r="N2131"/>
      <c r="O2131"/>
      <c r="P2131"/>
      <c r="Q2131"/>
    </row>
    <row r="2132" spans="1:33" ht="14.25" x14ac:dyDescent="0.2">
      <c r="A2132" s="31"/>
      <c r="B2132" s="31"/>
      <c r="C2132" s="31" t="s">
        <v>42</v>
      </c>
      <c r="D2132" s="32" t="s">
        <v>43</v>
      </c>
      <c r="E2132" s="4">
        <f>[1]Source!AQ2011</f>
        <v>0.35</v>
      </c>
      <c r="F2132" s="33"/>
      <c r="G2132" s="34" t="str">
        <f>[1]Source!DI2011</f>
        <v>*4*168</v>
      </c>
      <c r="H2132" s="4">
        <f>[1]Source!AV2011</f>
        <v>1</v>
      </c>
      <c r="I2132" s="4"/>
      <c r="J2132" s="33"/>
      <c r="K2132" s="33">
        <f>[1]Source!U2011</f>
        <v>593.73887999999999</v>
      </c>
      <c r="M2132"/>
      <c r="N2132"/>
      <c r="O2132"/>
      <c r="P2132"/>
      <c r="Q2132"/>
    </row>
    <row r="2133" spans="1:33" ht="15" x14ac:dyDescent="0.25">
      <c r="A2133" s="35"/>
      <c r="B2133" s="35"/>
      <c r="C2133" s="35"/>
      <c r="D2133" s="35"/>
      <c r="E2133" s="35"/>
      <c r="F2133" s="35"/>
      <c r="G2133" s="35"/>
      <c r="H2133" s="35"/>
      <c r="I2133" s="36">
        <f>J2126+J2127+J2129+J2130+J2131</f>
        <v>354165.57999999996</v>
      </c>
      <c r="J2133" s="36"/>
      <c r="K2133" s="37">
        <f>IF([1]Source!I2011&lt;&gt;0, ROUND(I2133/[1]Source!I2011, 2), 0)</f>
        <v>140296.93</v>
      </c>
      <c r="M2133"/>
      <c r="N2133"/>
      <c r="O2133"/>
      <c r="P2133"/>
      <c r="Q2133"/>
      <c r="AA2133" s="38">
        <f>I2133</f>
        <v>354165.57999999996</v>
      </c>
    </row>
    <row r="2134" spans="1:33" ht="42.75" x14ac:dyDescent="0.2">
      <c r="A2134" s="31">
        <v>297</v>
      </c>
      <c r="B2134" s="31" t="str">
        <f>[1]Source!F2012</f>
        <v>5.3-1102-9-1/1</v>
      </c>
      <c r="C2134" s="31" t="str">
        <f>[1]Source!G2012</f>
        <v>Колка льда на обледеневших покрытиях вручную ( S=1262,2м2*0,8*0,3*0,5= 151,46  м2)</v>
      </c>
      <c r="D2134" s="32" t="str">
        <f>[1]Source!H2012</f>
        <v>100 м2</v>
      </c>
      <c r="E2134" s="4">
        <f>[1]Source!I2012</f>
        <v>1.5145999999999999</v>
      </c>
      <c r="F2134" s="33"/>
      <c r="G2134" s="34"/>
      <c r="H2134" s="4"/>
      <c r="I2134" s="4"/>
      <c r="J2134" s="33"/>
      <c r="K2134" s="33"/>
      <c r="M2134"/>
      <c r="N2134"/>
      <c r="O2134"/>
      <c r="P2134"/>
      <c r="Q2134"/>
      <c r="AB2134">
        <f>ROUND(([1]Source!BZ2012/100)*ROUND(([1]Source!AF2012*[1]Source!AV2012)*[1]Source!I2012, 2), 2)</f>
        <v>212853.33</v>
      </c>
      <c r="AC2134">
        <f>[1]Source!X2012</f>
        <v>212853.33</v>
      </c>
      <c r="AD2134">
        <f>ROUND(([1]Source!CA2012/100)*ROUND(([1]Source!AF2012*[1]Source!AV2012)*[1]Source!I2012, 2), 2)</f>
        <v>30407.62</v>
      </c>
      <c r="AE2134">
        <f>[1]Source!Y2012</f>
        <v>30407.62</v>
      </c>
      <c r="AF2134">
        <f>ROUND((175/100)*ROUND(([1]Source!AE2012*[1]Source!AV2012)*[1]Source!I2012, 2), 2)</f>
        <v>0</v>
      </c>
      <c r="AG2134">
        <f>ROUND((108/100)*ROUND([1]Source!CS2012*[1]Source!I2012, 2), 2)</f>
        <v>0</v>
      </c>
    </row>
    <row r="2135" spans="1:33" x14ac:dyDescent="0.2">
      <c r="C2135" s="40" t="str">
        <f>"Объем: "&amp;[1]Source!I2012&amp;"=151,46/"&amp;"100"</f>
        <v>Объем: 1,5146=151,46/100</v>
      </c>
      <c r="M2135"/>
      <c r="N2135"/>
      <c r="O2135"/>
      <c r="P2135"/>
      <c r="Q2135"/>
    </row>
    <row r="2136" spans="1:33" ht="14.25" x14ac:dyDescent="0.2">
      <c r="A2136" s="31"/>
      <c r="B2136" s="31"/>
      <c r="C2136" s="31" t="s">
        <v>34</v>
      </c>
      <c r="D2136" s="32"/>
      <c r="E2136" s="4"/>
      <c r="F2136" s="33">
        <f>[1]Source!AO2012</f>
        <v>597.51</v>
      </c>
      <c r="G2136" s="34" t="str">
        <f>[1]Source!DG2012</f>
        <v>)*2*168</v>
      </c>
      <c r="H2136" s="4">
        <f>[1]Source!AV2012</f>
        <v>1</v>
      </c>
      <c r="I2136" s="4">
        <f>IF([1]Source!BA2012&lt;&gt; 0, [1]Source!BA2012, 1)</f>
        <v>1</v>
      </c>
      <c r="J2136" s="33">
        <f>[1]Source!S2012</f>
        <v>304076.19</v>
      </c>
      <c r="K2136" s="33"/>
      <c r="M2136"/>
      <c r="N2136"/>
      <c r="O2136"/>
      <c r="P2136"/>
      <c r="Q2136"/>
    </row>
    <row r="2137" spans="1:33" ht="14.25" x14ac:dyDescent="0.2">
      <c r="A2137" s="31"/>
      <c r="B2137" s="31"/>
      <c r="C2137" s="31" t="s">
        <v>40</v>
      </c>
      <c r="D2137" s="32" t="s">
        <v>39</v>
      </c>
      <c r="E2137" s="4">
        <f>[1]Source!AT2012</f>
        <v>70</v>
      </c>
      <c r="F2137" s="33"/>
      <c r="G2137" s="34"/>
      <c r="H2137" s="4"/>
      <c r="I2137" s="4"/>
      <c r="J2137" s="33">
        <f>SUM(AC2134:AC2136)</f>
        <v>212853.33</v>
      </c>
      <c r="K2137" s="33"/>
      <c r="M2137"/>
      <c r="N2137"/>
      <c r="O2137"/>
      <c r="P2137"/>
      <c r="Q2137"/>
    </row>
    <row r="2138" spans="1:33" ht="14.25" x14ac:dyDescent="0.2">
      <c r="A2138" s="31"/>
      <c r="B2138" s="31"/>
      <c r="C2138" s="31" t="s">
        <v>41</v>
      </c>
      <c r="D2138" s="32" t="s">
        <v>39</v>
      </c>
      <c r="E2138" s="4">
        <f>[1]Source!AU2012</f>
        <v>10</v>
      </c>
      <c r="F2138" s="33"/>
      <c r="G2138" s="34"/>
      <c r="H2138" s="4"/>
      <c r="I2138" s="4"/>
      <c r="J2138" s="33">
        <f>SUM(AE2134:AE2137)</f>
        <v>30407.62</v>
      </c>
      <c r="K2138" s="33"/>
      <c r="M2138"/>
      <c r="N2138"/>
      <c r="O2138"/>
      <c r="P2138"/>
      <c r="Q2138"/>
    </row>
    <row r="2139" spans="1:33" ht="14.25" x14ac:dyDescent="0.2">
      <c r="A2139" s="31"/>
      <c r="B2139" s="31"/>
      <c r="C2139" s="31" t="s">
        <v>42</v>
      </c>
      <c r="D2139" s="32" t="s">
        <v>43</v>
      </c>
      <c r="E2139" s="4">
        <f>[1]Source!AQ2012</f>
        <v>2.41</v>
      </c>
      <c r="F2139" s="33"/>
      <c r="G2139" s="34" t="str">
        <f>[1]Source!DI2012</f>
        <v>)*2*168</v>
      </c>
      <c r="H2139" s="4">
        <f>[1]Source!AV2012</f>
        <v>1</v>
      </c>
      <c r="I2139" s="4"/>
      <c r="J2139" s="33"/>
      <c r="K2139" s="33">
        <f>[1]Source!U2012</f>
        <v>1226.4624959999999</v>
      </c>
      <c r="M2139"/>
      <c r="N2139"/>
      <c r="O2139"/>
      <c r="P2139"/>
      <c r="Q2139"/>
    </row>
    <row r="2140" spans="1:33" ht="15" x14ac:dyDescent="0.25">
      <c r="A2140" s="35"/>
      <c r="B2140" s="35"/>
      <c r="C2140" s="35"/>
      <c r="D2140" s="35"/>
      <c r="E2140" s="35"/>
      <c r="F2140" s="35"/>
      <c r="G2140" s="35"/>
      <c r="H2140" s="35"/>
      <c r="I2140" s="36">
        <f>J2136+J2137+J2138</f>
        <v>547337.14</v>
      </c>
      <c r="J2140" s="36"/>
      <c r="K2140" s="37">
        <f>IF([1]Source!I2012&lt;&gt;0, ROUND(I2140/[1]Source!I2012, 2), 0)</f>
        <v>361374.05</v>
      </c>
      <c r="M2140"/>
      <c r="N2140"/>
      <c r="O2140"/>
      <c r="P2140"/>
      <c r="Q2140"/>
      <c r="AA2140" s="38">
        <f>I2140</f>
        <v>547337.14</v>
      </c>
    </row>
    <row r="2141" spans="1:33" ht="28.5" x14ac:dyDescent="0.2">
      <c r="A2141" s="31">
        <v>298</v>
      </c>
      <c r="B2141" s="31" t="str">
        <f>[1]Source!F2013</f>
        <v>калькуляция</v>
      </c>
      <c r="C2141" s="31" t="str">
        <f>[1]Source!G2013</f>
        <v>Посыпка гранитной крошкой  дорожных покрытий вручную( 100г/м2 )</v>
      </c>
      <c r="D2141" s="32" t="str">
        <f>[1]Source!H2013</f>
        <v>м2</v>
      </c>
      <c r="E2141" s="4">
        <f>[1]Source!I2013</f>
        <v>1262.2</v>
      </c>
      <c r="F2141" s="33"/>
      <c r="G2141" s="34"/>
      <c r="H2141" s="4"/>
      <c r="I2141" s="4"/>
      <c r="J2141" s="33"/>
      <c r="K2141" s="33"/>
      <c r="M2141"/>
      <c r="N2141"/>
      <c r="O2141"/>
      <c r="P2141"/>
      <c r="Q2141"/>
      <c r="AB2141">
        <f>ROUND(([1]Source!BZ2013/100)*ROUND(([1]Source!AF2013*[1]Source!AV2013)*[1]Source!I2013, 2), 2)</f>
        <v>0</v>
      </c>
      <c r="AC2141">
        <f>[1]Source!X2013</f>
        <v>0</v>
      </c>
      <c r="AD2141">
        <f>ROUND(([1]Source!CA2013/100)*ROUND(([1]Source!AF2013*[1]Source!AV2013)*[1]Source!I2013, 2), 2)</f>
        <v>0</v>
      </c>
      <c r="AE2141">
        <f>[1]Source!Y2013</f>
        <v>0</v>
      </c>
      <c r="AF2141">
        <f>ROUND((175/100)*ROUND(([1]Source!AE2013*[1]Source!AV2013)*[1]Source!I2013, 2), 2)</f>
        <v>0</v>
      </c>
      <c r="AG2141">
        <f>ROUND((108/100)*ROUND([1]Source!CS2013*[1]Source!I2013, 2), 2)</f>
        <v>0</v>
      </c>
    </row>
    <row r="2142" spans="1:33" ht="14.25" x14ac:dyDescent="0.2">
      <c r="A2142" s="31"/>
      <c r="B2142" s="31"/>
      <c r="C2142" s="31" t="s">
        <v>34</v>
      </c>
      <c r="D2142" s="32"/>
      <c r="E2142" s="4"/>
      <c r="F2142" s="33">
        <f>[1]Source!AO2013</f>
        <v>2.08</v>
      </c>
      <c r="G2142" s="34" t="str">
        <f>[1]Source!DG2013</f>
        <v>*4*168</v>
      </c>
      <c r="H2142" s="4">
        <f>[1]Source!AV2013</f>
        <v>1</v>
      </c>
      <c r="I2142" s="4">
        <f>IF([1]Source!BA2013&lt;&gt; 0, [1]Source!BA2013, 1)</f>
        <v>1</v>
      </c>
      <c r="J2142" s="33">
        <f>[1]Source!S2013</f>
        <v>1764252.67</v>
      </c>
      <c r="K2142" s="33"/>
      <c r="M2142"/>
      <c r="N2142"/>
      <c r="O2142"/>
      <c r="P2142"/>
      <c r="Q2142"/>
    </row>
    <row r="2143" spans="1:33" ht="14.25" x14ac:dyDescent="0.2">
      <c r="A2143" s="31" t="s">
        <v>97</v>
      </c>
      <c r="B2143" s="31" t="str">
        <f>[1]Source!F2014</f>
        <v>цена поставщика</v>
      </c>
      <c r="C2143" s="31" t="str">
        <f>[1]Source!G2014</f>
        <v>Крошка гранитная</v>
      </c>
      <c r="D2143" s="32" t="str">
        <f>[1]Source!H2014</f>
        <v>кг</v>
      </c>
      <c r="E2143" s="4">
        <f>[1]Source!I2014</f>
        <v>84819.839999999982</v>
      </c>
      <c r="F2143" s="33">
        <f>[1]Source!AK2014</f>
        <v>4.43</v>
      </c>
      <c r="G2143" s="39" t="s">
        <v>68</v>
      </c>
      <c r="H2143" s="4">
        <f>[1]Source!AW2014</f>
        <v>1</v>
      </c>
      <c r="I2143" s="4">
        <f>IF([1]Source!BC2014&lt;&gt; 0, [1]Source!BC2014, 1)</f>
        <v>1</v>
      </c>
      <c r="J2143" s="33">
        <f>[1]Source!O2014</f>
        <v>375751.89</v>
      </c>
      <c r="K2143" s="33"/>
      <c r="M2143"/>
      <c r="N2143"/>
      <c r="O2143"/>
      <c r="P2143"/>
      <c r="Q2143"/>
      <c r="AB2143">
        <f>ROUND(([1]Source!BZ2014/100)*ROUND(([1]Source!AF2014*[1]Source!AV2014)*[1]Source!I2014, 2), 2)</f>
        <v>0</v>
      </c>
      <c r="AC2143">
        <f>[1]Source!X2014</f>
        <v>0</v>
      </c>
      <c r="AD2143">
        <f>ROUND(([1]Source!CA2014/100)*ROUND(([1]Source!AF2014*[1]Source!AV2014)*[1]Source!I2014, 2), 2)</f>
        <v>0</v>
      </c>
      <c r="AE2143">
        <f>[1]Source!Y2014</f>
        <v>0</v>
      </c>
      <c r="AF2143">
        <f>ROUND((175/100)*ROUND(([1]Source!AE2014*[1]Source!AV2014)*[1]Source!I2014, 2), 2)</f>
        <v>0</v>
      </c>
      <c r="AG2143">
        <f>ROUND((108/100)*ROUND([1]Source!CS2014*[1]Source!I2014, 2), 2)</f>
        <v>0</v>
      </c>
    </row>
    <row r="2144" spans="1:33" ht="15" x14ac:dyDescent="0.25">
      <c r="A2144" s="35"/>
      <c r="B2144" s="35"/>
      <c r="C2144" s="35"/>
      <c r="D2144" s="35"/>
      <c r="E2144" s="35"/>
      <c r="F2144" s="35"/>
      <c r="G2144" s="35"/>
      <c r="H2144" s="35"/>
      <c r="I2144" s="36">
        <f>J2142+SUM(J2143:J2143)</f>
        <v>2140004.56</v>
      </c>
      <c r="J2144" s="36"/>
      <c r="K2144" s="37">
        <f>IF([1]Source!I2013&lt;&gt;0, ROUND(I2144/[1]Source!I2013, 2), 0)</f>
        <v>1695.46</v>
      </c>
      <c r="M2144"/>
      <c r="N2144"/>
      <c r="O2144"/>
      <c r="P2144"/>
      <c r="Q2144"/>
      <c r="AA2144" s="38">
        <f>I2144</f>
        <v>2140004.56</v>
      </c>
    </row>
    <row r="2145" spans="1:43" ht="28.5" x14ac:dyDescent="0.2">
      <c r="A2145" s="31">
        <v>299</v>
      </c>
      <c r="B2145" s="31" t="str">
        <f>[1]Source!F2015</f>
        <v>5.4-1201-1-1/1</v>
      </c>
      <c r="C2145" s="31" t="str">
        <f>[1]Source!G2015</f>
        <v>Сбор случайного мусора по территории</v>
      </c>
      <c r="D2145" s="32" t="str">
        <f>[1]Source!H2015</f>
        <v>100 м2</v>
      </c>
      <c r="E2145" s="4">
        <f>[1]Source!I2015</f>
        <v>12.622</v>
      </c>
      <c r="F2145" s="33"/>
      <c r="G2145" s="34"/>
      <c r="H2145" s="4"/>
      <c r="I2145" s="4"/>
      <c r="J2145" s="33"/>
      <c r="K2145" s="33"/>
      <c r="M2145"/>
      <c r="N2145"/>
      <c r="O2145"/>
      <c r="P2145"/>
      <c r="Q2145"/>
      <c r="AB2145">
        <f>ROUND(([1]Source!BZ2015/100)*ROUND(([1]Source!AF2015*[1]Source!AV2015)*[1]Source!I2015, 2), 2)</f>
        <v>145494.29999999999</v>
      </c>
      <c r="AC2145">
        <f>[1]Source!X2015</f>
        <v>145494.29999999999</v>
      </c>
      <c r="AD2145">
        <f>ROUND(([1]Source!CA2015/100)*ROUND(([1]Source!AF2015*[1]Source!AV2015)*[1]Source!I2015, 2), 2)</f>
        <v>20784.900000000001</v>
      </c>
      <c r="AE2145">
        <f>[1]Source!Y2015</f>
        <v>20784.900000000001</v>
      </c>
      <c r="AF2145">
        <f>ROUND((175/100)*ROUND(([1]Source!AE2015*[1]Source!AV2015)*[1]Source!I2015, 2), 2)</f>
        <v>0</v>
      </c>
      <c r="AG2145">
        <f>ROUND((108/100)*ROUND([1]Source!CS2015*[1]Source!I2015, 2), 2)</f>
        <v>0</v>
      </c>
    </row>
    <row r="2146" spans="1:43" x14ac:dyDescent="0.2">
      <c r="C2146" s="40" t="str">
        <f>"Объем: "&amp;[1]Source!I2015&amp;"=1262,2/"&amp;"100"</f>
        <v>Объем: 12,622=1262,2/100</v>
      </c>
      <c r="M2146"/>
      <c r="N2146"/>
      <c r="O2146"/>
      <c r="P2146"/>
      <c r="Q2146"/>
    </row>
    <row r="2147" spans="1:43" ht="14.25" x14ac:dyDescent="0.2">
      <c r="A2147" s="31"/>
      <c r="B2147" s="31"/>
      <c r="C2147" s="31" t="s">
        <v>34</v>
      </c>
      <c r="D2147" s="32"/>
      <c r="E2147" s="4"/>
      <c r="F2147" s="33">
        <f>[1]Source!AO2015</f>
        <v>12.4</v>
      </c>
      <c r="G2147" s="34" t="str">
        <f>[1]Source!DG2015</f>
        <v>)*4*332</v>
      </c>
      <c r="H2147" s="4">
        <f>[1]Source!AV2015</f>
        <v>1</v>
      </c>
      <c r="I2147" s="4">
        <f>IF([1]Source!BA2015&lt;&gt; 0, [1]Source!BA2015, 1)</f>
        <v>1</v>
      </c>
      <c r="J2147" s="33">
        <f>[1]Source!S2015</f>
        <v>207849</v>
      </c>
      <c r="K2147" s="33"/>
      <c r="M2147"/>
      <c r="N2147"/>
      <c r="O2147"/>
      <c r="P2147"/>
      <c r="Q2147"/>
    </row>
    <row r="2148" spans="1:43" ht="14.25" x14ac:dyDescent="0.2">
      <c r="A2148" s="31"/>
      <c r="B2148" s="31"/>
      <c r="C2148" s="31" t="s">
        <v>47</v>
      </c>
      <c r="D2148" s="32"/>
      <c r="E2148" s="4"/>
      <c r="F2148" s="33">
        <f>[1]Source!AL2015</f>
        <v>0.69</v>
      </c>
      <c r="G2148" s="34" t="str">
        <f>[1]Source!DD2015</f>
        <v>)*4*332</v>
      </c>
      <c r="H2148" s="4">
        <f>[1]Source!AW2015</f>
        <v>1</v>
      </c>
      <c r="I2148" s="4">
        <f>IF([1]Source!BC2015&lt;&gt; 0, [1]Source!BC2015, 1)</f>
        <v>1</v>
      </c>
      <c r="J2148" s="33">
        <f>[1]Source!P2015</f>
        <v>11565.79</v>
      </c>
      <c r="K2148" s="33"/>
      <c r="M2148"/>
      <c r="N2148"/>
      <c r="O2148"/>
      <c r="P2148"/>
      <c r="Q2148"/>
    </row>
    <row r="2149" spans="1:43" ht="14.25" x14ac:dyDescent="0.2">
      <c r="A2149" s="31"/>
      <c r="B2149" s="31"/>
      <c r="C2149" s="31" t="s">
        <v>40</v>
      </c>
      <c r="D2149" s="32" t="s">
        <v>39</v>
      </c>
      <c r="E2149" s="4">
        <f>[1]Source!AT2015</f>
        <v>70</v>
      </c>
      <c r="F2149" s="33"/>
      <c r="G2149" s="34"/>
      <c r="H2149" s="4"/>
      <c r="I2149" s="4"/>
      <c r="J2149" s="33">
        <f>SUM(AC2145:AC2148)</f>
        <v>145494.29999999999</v>
      </c>
      <c r="K2149" s="33"/>
      <c r="M2149"/>
      <c r="N2149"/>
      <c r="O2149"/>
      <c r="P2149"/>
      <c r="Q2149"/>
    </row>
    <row r="2150" spans="1:43" ht="14.25" x14ac:dyDescent="0.2">
      <c r="A2150" s="31"/>
      <c r="B2150" s="31"/>
      <c r="C2150" s="31" t="s">
        <v>41</v>
      </c>
      <c r="D2150" s="32" t="s">
        <v>39</v>
      </c>
      <c r="E2150" s="4">
        <f>[1]Source!AU2015</f>
        <v>10</v>
      </c>
      <c r="F2150" s="33"/>
      <c r="G2150" s="34"/>
      <c r="H2150" s="4"/>
      <c r="I2150" s="4"/>
      <c r="J2150" s="33">
        <f>SUM(AE2145:AE2149)</f>
        <v>20784.900000000001</v>
      </c>
      <c r="K2150" s="33"/>
      <c r="M2150"/>
      <c r="N2150"/>
      <c r="O2150"/>
      <c r="P2150"/>
      <c r="Q2150"/>
    </row>
    <row r="2151" spans="1:43" ht="14.25" x14ac:dyDescent="0.2">
      <c r="A2151" s="31"/>
      <c r="B2151" s="31"/>
      <c r="C2151" s="31" t="s">
        <v>42</v>
      </c>
      <c r="D2151" s="32" t="s">
        <v>43</v>
      </c>
      <c r="E2151" s="4">
        <f>[1]Source!AQ2015</f>
        <v>0.05</v>
      </c>
      <c r="F2151" s="33"/>
      <c r="G2151" s="34" t="str">
        <f>[1]Source!DI2015</f>
        <v>)*4*332</v>
      </c>
      <c r="H2151" s="4">
        <f>[1]Source!AV2015</f>
        <v>1</v>
      </c>
      <c r="I2151" s="4"/>
      <c r="J2151" s="33"/>
      <c r="K2151" s="33">
        <f>[1]Source!U2015</f>
        <v>838.10080000000005</v>
      </c>
      <c r="M2151"/>
      <c r="N2151"/>
      <c r="O2151"/>
      <c r="P2151"/>
      <c r="Q2151"/>
    </row>
    <row r="2152" spans="1:43" ht="15" x14ac:dyDescent="0.25">
      <c r="A2152" s="35"/>
      <c r="B2152" s="35"/>
      <c r="C2152" s="35"/>
      <c r="D2152" s="35"/>
      <c r="E2152" s="35"/>
      <c r="F2152" s="35"/>
      <c r="G2152" s="35"/>
      <c r="H2152" s="35"/>
      <c r="I2152" s="36">
        <f>J2147+J2148+J2149+J2150</f>
        <v>385693.99</v>
      </c>
      <c r="J2152" s="36"/>
      <c r="K2152" s="37">
        <f>IF([1]Source!I2015&lt;&gt;0, ROUND(I2152/[1]Source!I2015, 2), 0)</f>
        <v>30557.279999999999</v>
      </c>
      <c r="M2152"/>
      <c r="N2152"/>
      <c r="O2152"/>
      <c r="P2152"/>
      <c r="Q2152"/>
      <c r="AA2152" s="38">
        <f>I2152</f>
        <v>385693.99</v>
      </c>
    </row>
    <row r="2153" spans="1:43" x14ac:dyDescent="0.2">
      <c r="M2153"/>
      <c r="N2153"/>
      <c r="O2153"/>
      <c r="P2153"/>
      <c r="Q2153"/>
    </row>
    <row r="2154" spans="1:43" ht="15" x14ac:dyDescent="0.25">
      <c r="A2154" s="42" t="str">
        <f>CONCATENATE("Итого по подразделу: ",IF([1]Source!G2017&lt;&gt;"Новый подраздел", [1]Source!G2017, ""))</f>
        <v>Итого по подразделу: Содержание покрытий.</v>
      </c>
      <c r="B2154" s="42"/>
      <c r="C2154" s="42"/>
      <c r="D2154" s="42"/>
      <c r="E2154" s="42"/>
      <c r="F2154" s="42"/>
      <c r="G2154" s="42"/>
      <c r="H2154" s="42"/>
      <c r="I2154" s="43">
        <f>SUM(AA2092:AA2153)</f>
        <v>6123209.0200000005</v>
      </c>
      <c r="J2154" s="44"/>
      <c r="K2154" s="47"/>
      <c r="L2154" s="38">
        <f>I2154</f>
        <v>6123209.0200000005</v>
      </c>
      <c r="M2154" s="2">
        <f>ROUND(I2154*$I$4874,2)</f>
        <v>4422223.4800000004</v>
      </c>
      <c r="N2154" s="2">
        <f>ROUND(M2154*1.2/105*100,2)</f>
        <v>5053969.6900000004</v>
      </c>
      <c r="O2154" s="2">
        <f>ROUND(N2154*0.05,2)</f>
        <v>252698.48</v>
      </c>
      <c r="P2154" s="2">
        <f>N2154+O2154</f>
        <v>5306668.1700000009</v>
      </c>
      <c r="Q2154" s="3">
        <v>63</v>
      </c>
      <c r="S2154" s="2">
        <v>973025</v>
      </c>
    </row>
    <row r="2155" spans="1:43" x14ac:dyDescent="0.2">
      <c r="M2155"/>
      <c r="N2155"/>
      <c r="O2155"/>
      <c r="P2155"/>
      <c r="Q2155"/>
    </row>
    <row r="2156" spans="1:43" x14ac:dyDescent="0.2">
      <c r="M2156"/>
      <c r="N2156"/>
      <c r="O2156"/>
      <c r="P2156"/>
      <c r="Q2156"/>
    </row>
    <row r="2157" spans="1:43" ht="30" x14ac:dyDescent="0.25">
      <c r="A2157" s="42" t="str">
        <f>CONCATENATE("Итого по разделу: ",IF([1]Source!G2047&lt;&gt;"Новый раздел", [1]Source!G2047, ""))</f>
        <v>Итого по разделу: Содержание покрытий тротуара "  Храма зачатия правденной Анны". ( S= 1262,2м2).</v>
      </c>
      <c r="B2157" s="42"/>
      <c r="C2157" s="42"/>
      <c r="D2157" s="42"/>
      <c r="E2157" s="42"/>
      <c r="F2157" s="42"/>
      <c r="G2157" s="42"/>
      <c r="H2157" s="42"/>
      <c r="I2157" s="43">
        <f>SUM(AA2090:AA2156)</f>
        <v>6123209.0200000005</v>
      </c>
      <c r="J2157" s="44"/>
      <c r="K2157" s="47"/>
      <c r="L2157" s="38">
        <f>I2157</f>
        <v>6123209.0200000005</v>
      </c>
      <c r="M2157" s="2">
        <f>M2154</f>
        <v>4422223.4800000004</v>
      </c>
      <c r="N2157" s="2">
        <f>ROUND(M2157*1.2/105*100,2)</f>
        <v>5053969.6900000004</v>
      </c>
      <c r="O2157" s="2">
        <f>ROUND(N2157*0.05,2)</f>
        <v>252698.48</v>
      </c>
      <c r="P2157" s="2">
        <f>P2154</f>
        <v>5306668.1700000009</v>
      </c>
      <c r="Q2157" s="48"/>
      <c r="R2157">
        <v>2</v>
      </c>
      <c r="AQ2157" s="46" t="str">
        <f>CONCATENATE("Итого по разделу: ",IF([1]Source!G2047&lt;&gt;"Новый раздел", [1]Source!G2047, ""))</f>
        <v>Итого по разделу: Содержание покрытий тротуара "  Храма зачатия правденной Анны". ( S= 1262,2м2).</v>
      </c>
    </row>
    <row r="2158" spans="1:43" x14ac:dyDescent="0.2">
      <c r="M2158"/>
      <c r="N2158"/>
      <c r="O2158"/>
      <c r="P2158"/>
      <c r="Q2158"/>
    </row>
    <row r="2159" spans="1:43" x14ac:dyDescent="0.2">
      <c r="M2159"/>
      <c r="N2159"/>
      <c r="O2159"/>
      <c r="P2159"/>
      <c r="Q2159"/>
    </row>
    <row r="2160" spans="1:43" ht="16.5" x14ac:dyDescent="0.25">
      <c r="A2160" s="29" t="str">
        <f>CONCATENATE("Раздел: ",IF([1]Source!G2077&lt;&gt;"Новый раздел", [1]Source!G2077, ""))</f>
        <v>Раздел: Боевой ход Китайгородской стены ( S=1414,76 м2 ).</v>
      </c>
      <c r="B2160" s="29"/>
      <c r="C2160" s="29"/>
      <c r="D2160" s="29"/>
      <c r="E2160" s="29"/>
      <c r="F2160" s="29"/>
      <c r="G2160" s="29"/>
      <c r="H2160" s="29"/>
      <c r="I2160" s="29"/>
      <c r="J2160" s="29"/>
      <c r="K2160" s="29"/>
      <c r="M2160"/>
      <c r="N2160"/>
      <c r="O2160"/>
      <c r="P2160"/>
      <c r="Q2160"/>
    </row>
    <row r="2161" spans="1:33" x14ac:dyDescent="0.2">
      <c r="M2161"/>
      <c r="N2161"/>
      <c r="O2161"/>
      <c r="P2161"/>
      <c r="Q2161"/>
    </row>
    <row r="2162" spans="1:33" ht="16.5" x14ac:dyDescent="0.25">
      <c r="A2162" s="29" t="str">
        <f>CONCATENATE("Подраздел: ",IF([1]Source!G2081&lt;&gt;"Новый подраздел", [1]Source!G2081, ""))</f>
        <v>Подраздел: Содержание покрытий.</v>
      </c>
      <c r="B2162" s="29"/>
      <c r="C2162" s="29"/>
      <c r="D2162" s="29"/>
      <c r="E2162" s="29"/>
      <c r="F2162" s="29"/>
      <c r="G2162" s="29"/>
      <c r="H2162" s="29"/>
      <c r="I2162" s="29"/>
      <c r="J2162" s="29"/>
      <c r="K2162" s="29"/>
      <c r="M2162"/>
      <c r="N2162"/>
      <c r="O2162"/>
      <c r="P2162"/>
      <c r="Q2162"/>
    </row>
    <row r="2163" spans="1:33" ht="28.5" x14ac:dyDescent="0.2">
      <c r="A2163" s="31">
        <v>300</v>
      </c>
      <c r="B2163" s="31" t="str">
        <f>[1]Source!F2085</f>
        <v>калькуляция</v>
      </c>
      <c r="C2163" s="31" t="str">
        <f>[1]Source!G2085</f>
        <v>Подметание дорожек  вручную ( S=1414,76 м2)</v>
      </c>
      <c r="D2163" s="32" t="str">
        <f>[1]Source!H2085</f>
        <v>м2</v>
      </c>
      <c r="E2163" s="4">
        <f>[1]Source!I2085</f>
        <v>1414.76</v>
      </c>
      <c r="F2163" s="33"/>
      <c r="G2163" s="34"/>
      <c r="H2163" s="4"/>
      <c r="I2163" s="4"/>
      <c r="J2163" s="33"/>
      <c r="K2163" s="33"/>
      <c r="M2163"/>
      <c r="N2163"/>
      <c r="O2163"/>
      <c r="P2163"/>
      <c r="Q2163"/>
      <c r="AB2163">
        <f>ROUND(([1]Source!BZ2085/100)*ROUND(([1]Source!AF2085*[1]Source!AV2085)*[1]Source!I2085, 2), 2)</f>
        <v>0</v>
      </c>
      <c r="AC2163">
        <f>[1]Source!X2085</f>
        <v>0</v>
      </c>
      <c r="AD2163">
        <f>ROUND(([1]Source!CA2085/100)*ROUND(([1]Source!AF2085*[1]Source!AV2085)*[1]Source!I2085, 2), 2)</f>
        <v>0</v>
      </c>
      <c r="AE2163">
        <f>[1]Source!Y2085</f>
        <v>0</v>
      </c>
      <c r="AF2163">
        <f>ROUND((175/100)*ROUND(([1]Source!AE2085*[1]Source!AV2085)*[1]Source!I2085, 2), 2)</f>
        <v>0</v>
      </c>
      <c r="AG2163">
        <f>ROUND((108/100)*ROUND([1]Source!CS2085*[1]Source!I2085, 2), 2)</f>
        <v>0</v>
      </c>
    </row>
    <row r="2164" spans="1:33" ht="14.25" x14ac:dyDescent="0.2">
      <c r="A2164" s="31"/>
      <c r="B2164" s="31"/>
      <c r="C2164" s="31" t="s">
        <v>34</v>
      </c>
      <c r="D2164" s="32"/>
      <c r="E2164" s="4"/>
      <c r="F2164" s="33">
        <f>[1]Source!AO2085</f>
        <v>1.32</v>
      </c>
      <c r="G2164" s="34" t="str">
        <f>[1]Source!DG2085</f>
        <v>)*1*164</v>
      </c>
      <c r="H2164" s="4">
        <f>[1]Source!AV2085</f>
        <v>1</v>
      </c>
      <c r="I2164" s="4">
        <f>IF([1]Source!BA2085&lt;&gt; 0, [1]Source!BA2085, 1)</f>
        <v>1</v>
      </c>
      <c r="J2164" s="33">
        <f>[1]Source!S2085</f>
        <v>306267.24</v>
      </c>
      <c r="K2164" s="33"/>
      <c r="M2164"/>
      <c r="N2164"/>
      <c r="O2164"/>
      <c r="P2164"/>
      <c r="Q2164"/>
    </row>
    <row r="2165" spans="1:33" ht="15" x14ac:dyDescent="0.25">
      <c r="A2165" s="35"/>
      <c r="B2165" s="35"/>
      <c r="C2165" s="35"/>
      <c r="D2165" s="35"/>
      <c r="E2165" s="35"/>
      <c r="F2165" s="35"/>
      <c r="G2165" s="35"/>
      <c r="H2165" s="35"/>
      <c r="I2165" s="36">
        <f>J2164</f>
        <v>306267.24</v>
      </c>
      <c r="J2165" s="36"/>
      <c r="K2165" s="37">
        <f>IF([1]Source!I2085&lt;&gt;0, ROUND(I2165/[1]Source!I2085, 2), 0)</f>
        <v>216.48</v>
      </c>
      <c r="M2165"/>
      <c r="N2165"/>
      <c r="O2165"/>
      <c r="P2165"/>
      <c r="Q2165"/>
      <c r="AA2165" s="38">
        <f>I2165</f>
        <v>306267.24</v>
      </c>
    </row>
    <row r="2166" spans="1:33" ht="42.75" x14ac:dyDescent="0.2">
      <c r="A2166" s="31">
        <v>301</v>
      </c>
      <c r="B2166" s="31" t="str">
        <f>[1]Source!F2086</f>
        <v>5.3-1102-8-1/1</v>
      </c>
      <c r="C2166" s="31" t="str">
        <f>[1]Source!G2086</f>
        <v>Уборка свежевыпавшего снега вручную толщиной слоя до 10 см ( 1414,76 м2 * 0,2 = 282,95м2 )</v>
      </c>
      <c r="D2166" s="32" t="str">
        <f>[1]Source!H2086</f>
        <v>100 м2</v>
      </c>
      <c r="E2166" s="4">
        <f>[1]Source!I2086</f>
        <v>2.8294999999999999</v>
      </c>
      <c r="F2166" s="33"/>
      <c r="G2166" s="34"/>
      <c r="H2166" s="4"/>
      <c r="I2166" s="4"/>
      <c r="J2166" s="33"/>
      <c r="K2166" s="33"/>
      <c r="M2166"/>
      <c r="N2166"/>
      <c r="O2166"/>
      <c r="P2166"/>
      <c r="Q2166"/>
      <c r="AB2166">
        <f>ROUND(([1]Source!BZ2086/100)*ROUND(([1]Source!AF2086*[1]Source!AV2086)*[1]Source!I2086, 2), 2)</f>
        <v>53622.53</v>
      </c>
      <c r="AC2166">
        <f>[1]Source!X2086</f>
        <v>53622.53</v>
      </c>
      <c r="AD2166">
        <f>ROUND(([1]Source!CA2086/100)*ROUND(([1]Source!AF2086*[1]Source!AV2086)*[1]Source!I2086, 2), 2)</f>
        <v>7660.36</v>
      </c>
      <c r="AE2166">
        <f>[1]Source!Y2086</f>
        <v>7660.36</v>
      </c>
      <c r="AF2166">
        <f>ROUND((175/100)*ROUND(([1]Source!AE2086*[1]Source!AV2086)*[1]Source!I2086, 2), 2)</f>
        <v>0</v>
      </c>
      <c r="AG2166">
        <f>ROUND((108/100)*ROUND([1]Source!CS2086*[1]Source!I2086, 2), 2)</f>
        <v>0</v>
      </c>
    </row>
    <row r="2167" spans="1:33" x14ac:dyDescent="0.2">
      <c r="C2167" s="40" t="str">
        <f>"Объем: "&amp;[1]Source!I2086&amp;"=282,95/"&amp;"100"</f>
        <v>Объем: 2,8295=282,95/100</v>
      </c>
      <c r="M2167"/>
      <c r="N2167"/>
      <c r="O2167"/>
      <c r="P2167"/>
      <c r="Q2167"/>
    </row>
    <row r="2168" spans="1:33" ht="14.25" x14ac:dyDescent="0.2">
      <c r="A2168" s="31"/>
      <c r="B2168" s="31"/>
      <c r="C2168" s="31" t="s">
        <v>34</v>
      </c>
      <c r="D2168" s="32"/>
      <c r="E2168" s="4"/>
      <c r="F2168" s="33">
        <f>[1]Source!AO2086</f>
        <v>161.15</v>
      </c>
      <c r="G2168" s="34" t="str">
        <f>[1]Source!DG2086</f>
        <v>)*1*168</v>
      </c>
      <c r="H2168" s="4">
        <f>[1]Source!AV2086</f>
        <v>1</v>
      </c>
      <c r="I2168" s="4">
        <f>IF([1]Source!BA2086&lt;&gt; 0, [1]Source!BA2086, 1)</f>
        <v>1</v>
      </c>
      <c r="J2168" s="33">
        <f>[1]Source!S2086</f>
        <v>76603.62</v>
      </c>
      <c r="K2168" s="33"/>
      <c r="M2168"/>
      <c r="N2168"/>
      <c r="O2168"/>
      <c r="P2168"/>
      <c r="Q2168"/>
    </row>
    <row r="2169" spans="1:33" ht="14.25" x14ac:dyDescent="0.2">
      <c r="A2169" s="31"/>
      <c r="B2169" s="31"/>
      <c r="C2169" s="31" t="s">
        <v>40</v>
      </c>
      <c r="D2169" s="32" t="s">
        <v>39</v>
      </c>
      <c r="E2169" s="4">
        <f>[1]Source!AT2086</f>
        <v>70</v>
      </c>
      <c r="F2169" s="33"/>
      <c r="G2169" s="34"/>
      <c r="H2169" s="4"/>
      <c r="I2169" s="4"/>
      <c r="J2169" s="33">
        <f>SUM(AC2166:AC2168)</f>
        <v>53622.53</v>
      </c>
      <c r="K2169" s="33"/>
      <c r="M2169"/>
      <c r="N2169"/>
      <c r="O2169"/>
      <c r="P2169"/>
      <c r="Q2169"/>
    </row>
    <row r="2170" spans="1:33" ht="14.25" x14ac:dyDescent="0.2">
      <c r="A2170" s="31"/>
      <c r="B2170" s="31"/>
      <c r="C2170" s="31" t="s">
        <v>41</v>
      </c>
      <c r="D2170" s="32" t="s">
        <v>39</v>
      </c>
      <c r="E2170" s="4">
        <f>[1]Source!AU2086</f>
        <v>10</v>
      </c>
      <c r="F2170" s="33"/>
      <c r="G2170" s="34"/>
      <c r="H2170" s="4"/>
      <c r="I2170" s="4"/>
      <c r="J2170" s="33">
        <f>SUM(AE2166:AE2169)</f>
        <v>7660.36</v>
      </c>
      <c r="K2170" s="33"/>
      <c r="M2170"/>
      <c r="N2170"/>
      <c r="O2170"/>
      <c r="P2170"/>
      <c r="Q2170"/>
    </row>
    <row r="2171" spans="1:33" ht="14.25" x14ac:dyDescent="0.2">
      <c r="A2171" s="31"/>
      <c r="B2171" s="31"/>
      <c r="C2171" s="31" t="s">
        <v>42</v>
      </c>
      <c r="D2171" s="32" t="s">
        <v>43</v>
      </c>
      <c r="E2171" s="4">
        <f>[1]Source!AQ2086</f>
        <v>0.65</v>
      </c>
      <c r="F2171" s="33"/>
      <c r="G2171" s="34" t="str">
        <f>[1]Source!DI2086</f>
        <v>)*1*168</v>
      </c>
      <c r="H2171" s="4">
        <f>[1]Source!AV2086</f>
        <v>1</v>
      </c>
      <c r="I2171" s="4"/>
      <c r="J2171" s="33"/>
      <c r="K2171" s="33">
        <f>[1]Source!U2086</f>
        <v>308.98140000000001</v>
      </c>
      <c r="M2171"/>
      <c r="N2171"/>
      <c r="O2171"/>
      <c r="P2171"/>
      <c r="Q2171"/>
    </row>
    <row r="2172" spans="1:33" ht="15" x14ac:dyDescent="0.25">
      <c r="A2172" s="35"/>
      <c r="B2172" s="35"/>
      <c r="C2172" s="35"/>
      <c r="D2172" s="35"/>
      <c r="E2172" s="35"/>
      <c r="F2172" s="35"/>
      <c r="G2172" s="35"/>
      <c r="H2172" s="35"/>
      <c r="I2172" s="36">
        <f>J2168+J2169+J2170</f>
        <v>137886.50999999998</v>
      </c>
      <c r="J2172" s="36"/>
      <c r="K2172" s="37">
        <f>IF([1]Source!I2086&lt;&gt;0, ROUND(I2172/[1]Source!I2086, 2), 0)</f>
        <v>48731.76</v>
      </c>
      <c r="M2172"/>
      <c r="N2172"/>
      <c r="O2172"/>
      <c r="P2172"/>
      <c r="Q2172"/>
      <c r="AA2172" s="38">
        <f>I2172</f>
        <v>137886.50999999998</v>
      </c>
    </row>
    <row r="2173" spans="1:33" ht="28.5" x14ac:dyDescent="0.2">
      <c r="A2173" s="31">
        <v>302</v>
      </c>
      <c r="B2173" s="31" t="str">
        <f>[1]Source!F2087</f>
        <v>5.4-1201-1-1/1</v>
      </c>
      <c r="C2173" s="31" t="str">
        <f>[1]Source!G2087</f>
        <v>Сбор случайного мусора по территории</v>
      </c>
      <c r="D2173" s="32" t="str">
        <f>[1]Source!H2087</f>
        <v>100 м2</v>
      </c>
      <c r="E2173" s="4">
        <f>[1]Source!I2087</f>
        <v>14.147600000000001</v>
      </c>
      <c r="F2173" s="33"/>
      <c r="G2173" s="34"/>
      <c r="H2173" s="4"/>
      <c r="I2173" s="4"/>
      <c r="J2173" s="33"/>
      <c r="K2173" s="33"/>
      <c r="M2173"/>
      <c r="N2173"/>
      <c r="O2173"/>
      <c r="P2173"/>
      <c r="Q2173"/>
      <c r="AB2173">
        <f>ROUND(([1]Source!BZ2087/100)*ROUND(([1]Source!AF2087*[1]Source!AV2087)*[1]Source!I2087, 2), 2)</f>
        <v>40769.99</v>
      </c>
      <c r="AC2173">
        <f>[1]Source!X2087</f>
        <v>40769.99</v>
      </c>
      <c r="AD2173">
        <f>ROUND(([1]Source!CA2087/100)*ROUND(([1]Source!AF2087*[1]Source!AV2087)*[1]Source!I2087, 2), 2)</f>
        <v>5824.28</v>
      </c>
      <c r="AE2173">
        <f>[1]Source!Y2087</f>
        <v>5824.28</v>
      </c>
      <c r="AF2173">
        <f>ROUND((175/100)*ROUND(([1]Source!AE2087*[1]Source!AV2087)*[1]Source!I2087, 2), 2)</f>
        <v>0</v>
      </c>
      <c r="AG2173">
        <f>ROUND((108/100)*ROUND([1]Source!CS2087*[1]Source!I2087, 2), 2)</f>
        <v>0</v>
      </c>
    </row>
    <row r="2174" spans="1:33" x14ac:dyDescent="0.2">
      <c r="C2174" s="40" t="str">
        <f>"Объем: "&amp;[1]Source!I2087&amp;"=1414,76/"&amp;"100"</f>
        <v>Объем: 14,1476=1414,76/100</v>
      </c>
      <c r="M2174"/>
      <c r="N2174"/>
      <c r="O2174"/>
      <c r="P2174"/>
      <c r="Q2174"/>
    </row>
    <row r="2175" spans="1:33" ht="14.25" x14ac:dyDescent="0.2">
      <c r="A2175" s="31"/>
      <c r="B2175" s="31"/>
      <c r="C2175" s="31" t="s">
        <v>34</v>
      </c>
      <c r="D2175" s="32"/>
      <c r="E2175" s="4"/>
      <c r="F2175" s="33">
        <f>[1]Source!AO2087</f>
        <v>12.4</v>
      </c>
      <c r="G2175" s="34" t="str">
        <f>[1]Source!DG2087</f>
        <v>)*1*332</v>
      </c>
      <c r="H2175" s="4">
        <f>[1]Source!AV2087</f>
        <v>1</v>
      </c>
      <c r="I2175" s="4">
        <f>IF([1]Source!BA2087&lt;&gt; 0, [1]Source!BA2087, 1)</f>
        <v>1</v>
      </c>
      <c r="J2175" s="33">
        <f>[1]Source!S2087</f>
        <v>58242.84</v>
      </c>
      <c r="K2175" s="33"/>
      <c r="M2175"/>
      <c r="N2175"/>
      <c r="O2175"/>
      <c r="P2175"/>
      <c r="Q2175"/>
    </row>
    <row r="2176" spans="1:33" ht="14.25" x14ac:dyDescent="0.2">
      <c r="A2176" s="31"/>
      <c r="B2176" s="31"/>
      <c r="C2176" s="31" t="s">
        <v>47</v>
      </c>
      <c r="D2176" s="32"/>
      <c r="E2176" s="4"/>
      <c r="F2176" s="33">
        <f>[1]Source!AL2087</f>
        <v>0.69</v>
      </c>
      <c r="G2176" s="34" t="str">
        <f>[1]Source!DD2087</f>
        <v>)*1*332</v>
      </c>
      <c r="H2176" s="4">
        <f>[1]Source!AW2087</f>
        <v>1</v>
      </c>
      <c r="I2176" s="4">
        <f>IF([1]Source!BC2087&lt;&gt; 0, [1]Source!BC2087, 1)</f>
        <v>1</v>
      </c>
      <c r="J2176" s="33">
        <f>[1]Source!P2087</f>
        <v>3240.93</v>
      </c>
      <c r="K2176" s="33"/>
      <c r="M2176"/>
      <c r="N2176"/>
      <c r="O2176"/>
      <c r="P2176"/>
      <c r="Q2176"/>
    </row>
    <row r="2177" spans="1:33" ht="14.25" x14ac:dyDescent="0.2">
      <c r="A2177" s="31"/>
      <c r="B2177" s="31"/>
      <c r="C2177" s="31" t="s">
        <v>40</v>
      </c>
      <c r="D2177" s="32" t="s">
        <v>39</v>
      </c>
      <c r="E2177" s="4">
        <f>[1]Source!AT2087</f>
        <v>70</v>
      </c>
      <c r="F2177" s="33"/>
      <c r="G2177" s="34"/>
      <c r="H2177" s="4"/>
      <c r="I2177" s="4"/>
      <c r="J2177" s="33">
        <f>SUM(AC2173:AC2176)</f>
        <v>40769.99</v>
      </c>
      <c r="K2177" s="33"/>
      <c r="M2177"/>
      <c r="N2177"/>
      <c r="O2177"/>
      <c r="P2177"/>
      <c r="Q2177"/>
    </row>
    <row r="2178" spans="1:33" ht="14.25" x14ac:dyDescent="0.2">
      <c r="A2178" s="31"/>
      <c r="B2178" s="31"/>
      <c r="C2178" s="31" t="s">
        <v>41</v>
      </c>
      <c r="D2178" s="32" t="s">
        <v>39</v>
      </c>
      <c r="E2178" s="4">
        <f>[1]Source!AU2087</f>
        <v>10</v>
      </c>
      <c r="F2178" s="33"/>
      <c r="G2178" s="34"/>
      <c r="H2178" s="4"/>
      <c r="I2178" s="4"/>
      <c r="J2178" s="33">
        <f>SUM(AE2173:AE2177)</f>
        <v>5824.28</v>
      </c>
      <c r="K2178" s="33"/>
      <c r="M2178"/>
      <c r="N2178"/>
      <c r="O2178"/>
      <c r="P2178"/>
      <c r="Q2178"/>
    </row>
    <row r="2179" spans="1:33" ht="14.25" x14ac:dyDescent="0.2">
      <c r="A2179" s="31"/>
      <c r="B2179" s="31"/>
      <c r="C2179" s="31" t="s">
        <v>42</v>
      </c>
      <c r="D2179" s="32" t="s">
        <v>43</v>
      </c>
      <c r="E2179" s="4">
        <f>[1]Source!AQ2087</f>
        <v>0.05</v>
      </c>
      <c r="F2179" s="33"/>
      <c r="G2179" s="34" t="str">
        <f>[1]Source!DI2087</f>
        <v>)*1*332</v>
      </c>
      <c r="H2179" s="4">
        <f>[1]Source!AV2087</f>
        <v>1</v>
      </c>
      <c r="I2179" s="4"/>
      <c r="J2179" s="33"/>
      <c r="K2179" s="33">
        <f>[1]Source!U2087</f>
        <v>234.85016000000002</v>
      </c>
      <c r="M2179"/>
      <c r="N2179"/>
      <c r="O2179"/>
      <c r="P2179"/>
      <c r="Q2179"/>
    </row>
    <row r="2180" spans="1:33" ht="15" x14ac:dyDescent="0.25">
      <c r="A2180" s="35"/>
      <c r="B2180" s="35"/>
      <c r="C2180" s="35"/>
      <c r="D2180" s="35"/>
      <c r="E2180" s="35"/>
      <c r="F2180" s="35"/>
      <c r="G2180" s="35"/>
      <c r="H2180" s="35"/>
      <c r="I2180" s="36">
        <f>J2175+J2176+J2177+J2178</f>
        <v>108078.04</v>
      </c>
      <c r="J2180" s="36"/>
      <c r="K2180" s="37">
        <f>IF([1]Source!I2087&lt;&gt;0, ROUND(I2180/[1]Source!I2087, 2), 0)</f>
        <v>7639.32</v>
      </c>
      <c r="M2180"/>
      <c r="N2180"/>
      <c r="O2180"/>
      <c r="P2180"/>
      <c r="Q2180"/>
      <c r="AA2180" s="38">
        <f>I2180</f>
        <v>108078.04</v>
      </c>
    </row>
    <row r="2181" spans="1:33" x14ac:dyDescent="0.2">
      <c r="M2181"/>
      <c r="N2181"/>
      <c r="O2181"/>
      <c r="P2181"/>
      <c r="Q2181"/>
    </row>
    <row r="2182" spans="1:33" ht="15" x14ac:dyDescent="0.25">
      <c r="A2182" s="42" t="str">
        <f>CONCATENATE("Итого по подразделу: ",IF([1]Source!G2089&lt;&gt;"Новый подраздел", [1]Source!G2089, ""))</f>
        <v>Итого по подразделу: Содержание покрытий.</v>
      </c>
      <c r="B2182" s="42"/>
      <c r="C2182" s="42"/>
      <c r="D2182" s="42"/>
      <c r="E2182" s="42"/>
      <c r="F2182" s="42"/>
      <c r="G2182" s="42"/>
      <c r="H2182" s="42"/>
      <c r="I2182" s="43">
        <f>SUM(AA2162:AA2181)</f>
        <v>552231.79</v>
      </c>
      <c r="J2182" s="44"/>
      <c r="K2182" s="47"/>
      <c r="L2182" s="38">
        <f>I2182</f>
        <v>552231.79</v>
      </c>
      <c r="M2182" s="2">
        <f>ROUND(I2182*$I$4874,2)</f>
        <v>398825.58</v>
      </c>
      <c r="N2182" s="2">
        <f>ROUND(M2182*1.2/105*100,2)</f>
        <v>455800.66</v>
      </c>
      <c r="O2182" s="2">
        <f>ROUND(N2182*0.05,2)</f>
        <v>22790.03</v>
      </c>
      <c r="P2182" s="2">
        <f>N2182+O2182</f>
        <v>478590.68999999994</v>
      </c>
      <c r="Q2182" s="3">
        <v>64</v>
      </c>
      <c r="S2182" s="2">
        <v>85772.47</v>
      </c>
    </row>
    <row r="2183" spans="1:33" x14ac:dyDescent="0.2">
      <c r="M2183"/>
      <c r="N2183"/>
      <c r="O2183"/>
      <c r="P2183"/>
      <c r="Q2183"/>
    </row>
    <row r="2184" spans="1:33" x14ac:dyDescent="0.2">
      <c r="M2184"/>
      <c r="N2184"/>
      <c r="O2184"/>
      <c r="P2184"/>
      <c r="Q2184"/>
    </row>
    <row r="2185" spans="1:33" ht="16.5" x14ac:dyDescent="0.25">
      <c r="A2185" s="29" t="str">
        <f>CONCATENATE("Подраздел: ",IF([1]Source!G2119&lt;&gt;"Новый подраздел", [1]Source!G2119, ""))</f>
        <v>Подраздел: Уход за лестницей металлической.</v>
      </c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M2185"/>
      <c r="N2185"/>
      <c r="O2185"/>
      <c r="P2185"/>
      <c r="Q2185"/>
    </row>
    <row r="2186" spans="1:33" ht="14.25" x14ac:dyDescent="0.2">
      <c r="A2186" s="31">
        <v>303</v>
      </c>
      <c r="B2186" s="31" t="str">
        <f>[1]Source!F2123</f>
        <v>калькуляция</v>
      </c>
      <c r="C2186" s="31" t="str">
        <f>[1]Source!G2123</f>
        <v>Уход за металлической лестницей</v>
      </c>
      <c r="D2186" s="32" t="str">
        <f>[1]Source!H2123</f>
        <v>м2</v>
      </c>
      <c r="E2186" s="4">
        <f>[1]Source!I2123</f>
        <v>29.8</v>
      </c>
      <c r="F2186" s="33"/>
      <c r="G2186" s="34"/>
      <c r="H2186" s="4"/>
      <c r="I2186" s="4"/>
      <c r="J2186" s="33"/>
      <c r="K2186" s="33"/>
      <c r="M2186"/>
      <c r="N2186"/>
      <c r="O2186"/>
      <c r="P2186"/>
      <c r="Q2186"/>
      <c r="AB2186">
        <f>ROUND(([1]Source!BZ2123/100)*ROUND(([1]Source!AF2123*[1]Source!AV2123)*[1]Source!I2123, 2), 2)</f>
        <v>0</v>
      </c>
      <c r="AC2186">
        <f>[1]Source!X2123</f>
        <v>0</v>
      </c>
      <c r="AD2186">
        <f>ROUND(([1]Source!CA2123/100)*ROUND(([1]Source!AF2123*[1]Source!AV2123)*[1]Source!I2123, 2), 2)</f>
        <v>0</v>
      </c>
      <c r="AE2186">
        <f>[1]Source!Y2123</f>
        <v>0</v>
      </c>
      <c r="AF2186">
        <f>ROUND((175/100)*ROUND(([1]Source!AE2123*[1]Source!AV2123)*[1]Source!I2123, 2), 2)</f>
        <v>0</v>
      </c>
      <c r="AG2186">
        <f>ROUND((108/100)*ROUND([1]Source!CS2123*[1]Source!I2123, 2), 2)</f>
        <v>0</v>
      </c>
    </row>
    <row r="2187" spans="1:33" ht="14.25" x14ac:dyDescent="0.2">
      <c r="A2187" s="31"/>
      <c r="B2187" s="31"/>
      <c r="C2187" s="31" t="s">
        <v>34</v>
      </c>
      <c r="D2187" s="32"/>
      <c r="E2187" s="4"/>
      <c r="F2187" s="33">
        <f>[1]Source!AO2123</f>
        <v>5.14</v>
      </c>
      <c r="G2187" s="34" t="str">
        <f>[1]Source!DG2123</f>
        <v>)*1*240</v>
      </c>
      <c r="H2187" s="4">
        <f>[1]Source!AV2123</f>
        <v>1</v>
      </c>
      <c r="I2187" s="4">
        <f>IF([1]Source!BA2123&lt;&gt; 0, [1]Source!BA2123, 1)</f>
        <v>1</v>
      </c>
      <c r="J2187" s="33">
        <f>[1]Source!S2123</f>
        <v>36761.279999999999</v>
      </c>
      <c r="K2187" s="33"/>
      <c r="M2187"/>
      <c r="N2187"/>
      <c r="O2187"/>
      <c r="P2187"/>
      <c r="Q2187"/>
    </row>
    <row r="2188" spans="1:33" ht="15" x14ac:dyDescent="0.25">
      <c r="A2188" s="35"/>
      <c r="B2188" s="35"/>
      <c r="C2188" s="35"/>
      <c r="D2188" s="35"/>
      <c r="E2188" s="35"/>
      <c r="F2188" s="35"/>
      <c r="G2188" s="35"/>
      <c r="H2188" s="35"/>
      <c r="I2188" s="36">
        <f>J2187</f>
        <v>36761.279999999999</v>
      </c>
      <c r="J2188" s="36"/>
      <c r="K2188" s="37">
        <f>IF([1]Source!I2123&lt;&gt;0, ROUND(I2188/[1]Source!I2123, 2), 0)</f>
        <v>1233.5999999999999</v>
      </c>
      <c r="M2188"/>
      <c r="N2188"/>
      <c r="O2188"/>
      <c r="P2188"/>
      <c r="Q2188"/>
      <c r="AA2188" s="38">
        <f>I2188</f>
        <v>36761.279999999999</v>
      </c>
    </row>
    <row r="2189" spans="1:33" x14ac:dyDescent="0.2">
      <c r="M2189"/>
      <c r="N2189"/>
      <c r="O2189"/>
      <c r="P2189"/>
      <c r="Q2189"/>
    </row>
    <row r="2190" spans="1:33" ht="15" x14ac:dyDescent="0.25">
      <c r="A2190" s="42" t="str">
        <f>CONCATENATE("Итого по подразделу: ",IF([1]Source!G2125&lt;&gt;"Новый подраздел", [1]Source!G2125, ""))</f>
        <v>Итого по подразделу: Уход за лестницей металлической.</v>
      </c>
      <c r="B2190" s="42"/>
      <c r="C2190" s="42"/>
      <c r="D2190" s="42"/>
      <c r="E2190" s="42"/>
      <c r="F2190" s="42"/>
      <c r="G2190" s="42"/>
      <c r="H2190" s="42"/>
      <c r="I2190" s="43">
        <f>SUM(AA2185:AA2189)</f>
        <v>36761.279999999999</v>
      </c>
      <c r="J2190" s="44"/>
      <c r="K2190" s="47"/>
      <c r="L2190" s="38">
        <f>I2190</f>
        <v>36761.279999999999</v>
      </c>
      <c r="M2190" s="2">
        <f>ROUND(I2190*$I$4874,2)</f>
        <v>26549.25</v>
      </c>
      <c r="N2190" s="2">
        <f>ROUND(M2190*1.2/105*100,2)</f>
        <v>30342</v>
      </c>
      <c r="O2190" s="2">
        <f>ROUND(N2190*0.05,2)</f>
        <v>1517.1</v>
      </c>
      <c r="P2190" s="2">
        <f>N2190+O2190</f>
        <v>31859.1</v>
      </c>
      <c r="Q2190" s="3">
        <v>65</v>
      </c>
      <c r="S2190" s="2">
        <v>4115.13</v>
      </c>
    </row>
    <row r="2191" spans="1:33" x14ac:dyDescent="0.2">
      <c r="M2191"/>
      <c r="N2191"/>
      <c r="O2191"/>
      <c r="P2191"/>
      <c r="Q2191"/>
    </row>
    <row r="2192" spans="1:33" x14ac:dyDescent="0.2">
      <c r="M2192"/>
      <c r="N2192"/>
      <c r="O2192"/>
      <c r="P2192"/>
      <c r="Q2192"/>
    </row>
    <row r="2193" spans="1:33" ht="15" x14ac:dyDescent="0.25">
      <c r="A2193" s="42" t="str">
        <f>CONCATENATE("Итого по разделу: ",IF([1]Source!G2155&lt;&gt;"Новый раздел", [1]Source!G2155, ""))</f>
        <v>Итого по разделу: Боевой ход Китайгородской стены ( S=1414,76 м2 ).</v>
      </c>
      <c r="B2193" s="42"/>
      <c r="C2193" s="42"/>
      <c r="D2193" s="42"/>
      <c r="E2193" s="42"/>
      <c r="F2193" s="42"/>
      <c r="G2193" s="42"/>
      <c r="H2193" s="42"/>
      <c r="I2193" s="43">
        <f>SUM(AA2160:AA2192)</f>
        <v>588993.07000000007</v>
      </c>
      <c r="J2193" s="44"/>
      <c r="K2193" s="47"/>
      <c r="L2193" s="38">
        <f>I2193</f>
        <v>588993.07000000007</v>
      </c>
      <c r="M2193" s="2">
        <f>M2182+M2190</f>
        <v>425374.83</v>
      </c>
      <c r="N2193" s="2">
        <f>N2182+N2190</f>
        <v>486142.66</v>
      </c>
      <c r="O2193" s="2">
        <f>ROUND(N2193*0.05,2)</f>
        <v>24307.13</v>
      </c>
      <c r="P2193" s="2">
        <f>SUM(P2182:P2190)</f>
        <v>510449.78999999992</v>
      </c>
      <c r="Q2193" s="48"/>
      <c r="R2193">
        <v>2</v>
      </c>
    </row>
    <row r="2194" spans="1:33" x14ac:dyDescent="0.2">
      <c r="M2194"/>
      <c r="N2194"/>
      <c r="O2194"/>
      <c r="P2194"/>
      <c r="Q2194"/>
    </row>
    <row r="2195" spans="1:33" x14ac:dyDescent="0.2">
      <c r="M2195"/>
      <c r="N2195"/>
      <c r="O2195"/>
      <c r="P2195"/>
      <c r="Q2195"/>
    </row>
    <row r="2196" spans="1:33" ht="16.5" x14ac:dyDescent="0.25">
      <c r="A2196" s="29" t="str">
        <f>CONCATENATE("Раздел: ",IF([1]Source!G2185&lt;&gt;"Новый раздел", [1]Source!G2185, ""))</f>
        <v>Раздел: " Старый Английский двор ".</v>
      </c>
      <c r="B2196" s="29"/>
      <c r="C2196" s="29"/>
      <c r="D2196" s="29"/>
      <c r="E2196" s="29"/>
      <c r="F2196" s="29"/>
      <c r="G2196" s="29"/>
      <c r="H2196" s="29"/>
      <c r="I2196" s="29"/>
      <c r="J2196" s="29"/>
      <c r="K2196" s="29"/>
      <c r="M2196"/>
      <c r="N2196"/>
      <c r="O2196"/>
      <c r="P2196"/>
      <c r="Q2196"/>
    </row>
    <row r="2197" spans="1:33" x14ac:dyDescent="0.2">
      <c r="M2197"/>
      <c r="N2197"/>
      <c r="O2197"/>
      <c r="P2197"/>
      <c r="Q2197"/>
    </row>
    <row r="2198" spans="1:33" ht="16.5" x14ac:dyDescent="0.25">
      <c r="A2198" s="29" t="str">
        <f>CONCATENATE("Подраздел: ",IF([1]Source!G2189&lt;&gt;"Новый подраздел", [1]Source!G2189, ""))</f>
        <v>Подраздел: Содержание покрытий ( S=561,5 м2)..</v>
      </c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M2198"/>
      <c r="N2198"/>
      <c r="O2198"/>
      <c r="P2198"/>
      <c r="Q2198"/>
    </row>
    <row r="2199" spans="1:33" ht="28.5" x14ac:dyDescent="0.2">
      <c r="A2199" s="31">
        <v>304</v>
      </c>
      <c r="B2199" s="31" t="str">
        <f>[1]Source!F2193</f>
        <v>калькуляция</v>
      </c>
      <c r="C2199" s="31" t="str">
        <f>[1]Source!G2193</f>
        <v>Подметание дорожек  вручную ( S=561,5 м2)</v>
      </c>
      <c r="D2199" s="32" t="str">
        <f>[1]Source!H2193</f>
        <v>м2</v>
      </c>
      <c r="E2199" s="4">
        <f>[1]Source!I2193</f>
        <v>561.5</v>
      </c>
      <c r="F2199" s="33"/>
      <c r="G2199" s="34"/>
      <c r="H2199" s="4"/>
      <c r="I2199" s="4"/>
      <c r="J2199" s="33"/>
      <c r="K2199" s="33"/>
      <c r="M2199"/>
      <c r="N2199"/>
      <c r="O2199"/>
      <c r="P2199"/>
      <c r="Q2199"/>
      <c r="AB2199">
        <f>ROUND(([1]Source!BZ2193/100)*ROUND(([1]Source!AF2193*[1]Source!AV2193)*[1]Source!I2193, 2), 2)</f>
        <v>0</v>
      </c>
      <c r="AC2199">
        <f>[1]Source!X2193</f>
        <v>0</v>
      </c>
      <c r="AD2199">
        <f>ROUND(([1]Source!CA2193/100)*ROUND(([1]Source!AF2193*[1]Source!AV2193)*[1]Source!I2193, 2), 2)</f>
        <v>0</v>
      </c>
      <c r="AE2199">
        <f>[1]Source!Y2193</f>
        <v>0</v>
      </c>
      <c r="AF2199">
        <f>ROUND((175/100)*ROUND(([1]Source!AE2193*[1]Source!AV2193)*[1]Source!I2193, 2), 2)</f>
        <v>0</v>
      </c>
      <c r="AG2199">
        <f>ROUND((108/100)*ROUND([1]Source!CS2193*[1]Source!I2193, 2), 2)</f>
        <v>0</v>
      </c>
    </row>
    <row r="2200" spans="1:33" ht="14.25" x14ac:dyDescent="0.2">
      <c r="A2200" s="31"/>
      <c r="B2200" s="31"/>
      <c r="C2200" s="31" t="s">
        <v>34</v>
      </c>
      <c r="D2200" s="32"/>
      <c r="E2200" s="4"/>
      <c r="F2200" s="33">
        <f>[1]Source!AO2193</f>
        <v>1.32</v>
      </c>
      <c r="G2200" s="34" t="str">
        <f>[1]Source!DG2193</f>
        <v>)*4*164</v>
      </c>
      <c r="H2200" s="4">
        <f>[1]Source!AV2193</f>
        <v>1</v>
      </c>
      <c r="I2200" s="4">
        <f>IF([1]Source!BA2193&lt;&gt; 0, [1]Source!BA2193, 1)</f>
        <v>1</v>
      </c>
      <c r="J2200" s="33">
        <f>[1]Source!S2193</f>
        <v>486214.08</v>
      </c>
      <c r="K2200" s="33"/>
      <c r="M2200"/>
      <c r="N2200"/>
      <c r="O2200"/>
      <c r="P2200"/>
      <c r="Q2200"/>
    </row>
    <row r="2201" spans="1:33" ht="15" x14ac:dyDescent="0.25">
      <c r="A2201" s="35"/>
      <c r="B2201" s="35"/>
      <c r="C2201" s="35"/>
      <c r="D2201" s="35"/>
      <c r="E2201" s="35"/>
      <c r="F2201" s="35"/>
      <c r="G2201" s="35"/>
      <c r="H2201" s="35"/>
      <c r="I2201" s="36">
        <f>J2200</f>
        <v>486214.08</v>
      </c>
      <c r="J2201" s="36"/>
      <c r="K2201" s="37">
        <f>IF([1]Source!I2193&lt;&gt;0, ROUND(I2201/[1]Source!I2193, 2), 0)</f>
        <v>865.92</v>
      </c>
      <c r="M2201"/>
      <c r="N2201"/>
      <c r="O2201"/>
      <c r="P2201"/>
      <c r="Q2201"/>
      <c r="AA2201" s="38">
        <f>I2201</f>
        <v>486214.08</v>
      </c>
    </row>
    <row r="2202" spans="1:33" ht="42.75" x14ac:dyDescent="0.2">
      <c r="A2202" s="31">
        <v>305</v>
      </c>
      <c r="B2202" s="31" t="str">
        <f>[1]Source!F2194</f>
        <v>5.3-1102-8-1/1</v>
      </c>
      <c r="C2202" s="31" t="str">
        <f>[1]Source!G2194</f>
        <v>Уборка свежевыпавшего снега вручную толщиной слоя до 10 см ( 561,5 м2 * 0,8*0,7*0,5 = 157,22м2 )</v>
      </c>
      <c r="D2202" s="32" t="str">
        <f>[1]Source!H2194</f>
        <v>100 м2</v>
      </c>
      <c r="E2202" s="4">
        <f>[1]Source!I2194</f>
        <v>1.5722</v>
      </c>
      <c r="F2202" s="33"/>
      <c r="G2202" s="34"/>
      <c r="H2202" s="4"/>
      <c r="I2202" s="4"/>
      <c r="J2202" s="33"/>
      <c r="K2202" s="33"/>
      <c r="M2202"/>
      <c r="N2202"/>
      <c r="O2202"/>
      <c r="P2202"/>
      <c r="Q2202"/>
      <c r="AB2202">
        <f>ROUND(([1]Source!BZ2194/100)*ROUND(([1]Source!AF2194*[1]Source!AV2194)*[1]Source!I2194, 2), 2)</f>
        <v>119180.56</v>
      </c>
      <c r="AC2202">
        <f>[1]Source!X2194</f>
        <v>119180.56</v>
      </c>
      <c r="AD2202">
        <f>ROUND(([1]Source!CA2194/100)*ROUND(([1]Source!AF2194*[1]Source!AV2194)*[1]Source!I2194, 2), 2)</f>
        <v>17025.79</v>
      </c>
      <c r="AE2202">
        <f>[1]Source!Y2194</f>
        <v>17025.79</v>
      </c>
      <c r="AF2202">
        <f>ROUND((175/100)*ROUND(([1]Source!AE2194*[1]Source!AV2194)*[1]Source!I2194, 2), 2)</f>
        <v>0</v>
      </c>
      <c r="AG2202">
        <f>ROUND((108/100)*ROUND([1]Source!CS2194*[1]Source!I2194, 2), 2)</f>
        <v>0</v>
      </c>
    </row>
    <row r="2203" spans="1:33" x14ac:dyDescent="0.2">
      <c r="C2203" s="40" t="str">
        <f>"Объем: "&amp;[1]Source!I2194&amp;"=157,22/"&amp;"100"</f>
        <v>Объем: 1,5722=157,22/100</v>
      </c>
      <c r="M2203"/>
      <c r="N2203"/>
      <c r="O2203"/>
      <c r="P2203"/>
      <c r="Q2203"/>
    </row>
    <row r="2204" spans="1:33" ht="14.25" x14ac:dyDescent="0.2">
      <c r="A2204" s="31"/>
      <c r="B2204" s="31"/>
      <c r="C2204" s="31" t="s">
        <v>34</v>
      </c>
      <c r="D2204" s="32"/>
      <c r="E2204" s="4"/>
      <c r="F2204" s="33">
        <f>[1]Source!AO2194</f>
        <v>161.15</v>
      </c>
      <c r="G2204" s="34" t="str">
        <f>[1]Source!DG2194</f>
        <v>*4*168</v>
      </c>
      <c r="H2204" s="4">
        <f>[1]Source!AV2194</f>
        <v>1</v>
      </c>
      <c r="I2204" s="4">
        <f>IF([1]Source!BA2194&lt;&gt; 0, [1]Source!BA2194, 1)</f>
        <v>1</v>
      </c>
      <c r="J2204" s="33">
        <f>[1]Source!S2194</f>
        <v>170257.94</v>
      </c>
      <c r="K2204" s="33"/>
      <c r="M2204"/>
      <c r="N2204"/>
      <c r="O2204"/>
      <c r="P2204"/>
      <c r="Q2204"/>
    </row>
    <row r="2205" spans="1:33" ht="14.25" x14ac:dyDescent="0.2">
      <c r="A2205" s="31"/>
      <c r="B2205" s="31"/>
      <c r="C2205" s="31" t="s">
        <v>40</v>
      </c>
      <c r="D2205" s="32" t="s">
        <v>39</v>
      </c>
      <c r="E2205" s="4">
        <f>[1]Source!AT2194</f>
        <v>70</v>
      </c>
      <c r="F2205" s="33"/>
      <c r="G2205" s="34"/>
      <c r="H2205" s="4"/>
      <c r="I2205" s="4"/>
      <c r="J2205" s="33">
        <f>SUM(AC2202:AC2204)</f>
        <v>119180.56</v>
      </c>
      <c r="K2205" s="33"/>
      <c r="M2205"/>
      <c r="N2205"/>
      <c r="O2205"/>
      <c r="P2205"/>
      <c r="Q2205"/>
    </row>
    <row r="2206" spans="1:33" ht="14.25" x14ac:dyDescent="0.2">
      <c r="A2206" s="31"/>
      <c r="B2206" s="31"/>
      <c r="C2206" s="31" t="s">
        <v>41</v>
      </c>
      <c r="D2206" s="32" t="s">
        <v>39</v>
      </c>
      <c r="E2206" s="4">
        <f>[1]Source!AU2194</f>
        <v>10</v>
      </c>
      <c r="F2206" s="33"/>
      <c r="G2206" s="34"/>
      <c r="H2206" s="4"/>
      <c r="I2206" s="4"/>
      <c r="J2206" s="33">
        <f>SUM(AE2202:AE2205)</f>
        <v>17025.79</v>
      </c>
      <c r="K2206" s="33"/>
      <c r="M2206"/>
      <c r="N2206"/>
      <c r="O2206"/>
      <c r="P2206"/>
      <c r="Q2206"/>
    </row>
    <row r="2207" spans="1:33" ht="14.25" x14ac:dyDescent="0.2">
      <c r="A2207" s="31"/>
      <c r="B2207" s="31"/>
      <c r="C2207" s="31" t="s">
        <v>42</v>
      </c>
      <c r="D2207" s="32" t="s">
        <v>43</v>
      </c>
      <c r="E2207" s="4">
        <f>[1]Source!AQ2194</f>
        <v>0.65</v>
      </c>
      <c r="F2207" s="33"/>
      <c r="G2207" s="34" t="str">
        <f>[1]Source!DI2194</f>
        <v>*4*168</v>
      </c>
      <c r="H2207" s="4">
        <f>[1]Source!AV2194</f>
        <v>1</v>
      </c>
      <c r="I2207" s="4"/>
      <c r="J2207" s="33"/>
      <c r="K2207" s="33">
        <f>[1]Source!U2194</f>
        <v>686.73696000000007</v>
      </c>
      <c r="M2207"/>
      <c r="N2207"/>
      <c r="O2207"/>
      <c r="P2207"/>
      <c r="Q2207"/>
    </row>
    <row r="2208" spans="1:33" ht="15" x14ac:dyDescent="0.25">
      <c r="A2208" s="35"/>
      <c r="B2208" s="35"/>
      <c r="C2208" s="35"/>
      <c r="D2208" s="35"/>
      <c r="E2208" s="35"/>
      <c r="F2208" s="35"/>
      <c r="G2208" s="35"/>
      <c r="H2208" s="35"/>
      <c r="I2208" s="36">
        <f>J2204+J2205+J2206</f>
        <v>306464.28999999998</v>
      </c>
      <c r="J2208" s="36"/>
      <c r="K2208" s="37">
        <f>IF([1]Source!I2194&lt;&gt;0, ROUND(I2208/[1]Source!I2194, 2), 0)</f>
        <v>194927.04</v>
      </c>
      <c r="M2208"/>
      <c r="N2208"/>
      <c r="O2208"/>
      <c r="P2208"/>
      <c r="Q2208"/>
      <c r="AA2208" s="38">
        <f>I2208</f>
        <v>306464.28999999998</v>
      </c>
    </row>
    <row r="2209" spans="1:33" ht="42.75" x14ac:dyDescent="0.2">
      <c r="A2209" s="31">
        <v>306</v>
      </c>
      <c r="B2209" s="31" t="str">
        <f>[1]Source!F2195</f>
        <v>5.3-1102-8-3/1</v>
      </c>
      <c r="C2209" s="31" t="str">
        <f>[1]Source!G2195</f>
        <v>Уборка слежавшегося снега вручную(S=561,5м2*0,8*0,7*0,5=157,22м2)</v>
      </c>
      <c r="D2209" s="32" t="str">
        <f>[1]Source!H2195</f>
        <v>100 м2</v>
      </c>
      <c r="E2209" s="4">
        <f>[1]Source!I2195</f>
        <v>1.5722</v>
      </c>
      <c r="F2209" s="33"/>
      <c r="G2209" s="34"/>
      <c r="H2209" s="4"/>
      <c r="I2209" s="4"/>
      <c r="J2209" s="33"/>
      <c r="K2209" s="33"/>
      <c r="M2209"/>
      <c r="N2209"/>
      <c r="O2209"/>
      <c r="P2209"/>
      <c r="Q2209"/>
      <c r="AB2209">
        <f>ROUND(([1]Source!BZ2195/100)*ROUND(([1]Source!AF2195*[1]Source!AV2195)*[1]Source!I2195, 2), 2)</f>
        <v>70134.600000000006</v>
      </c>
      <c r="AC2209">
        <f>[1]Source!X2195</f>
        <v>70134.600000000006</v>
      </c>
      <c r="AD2209">
        <f>ROUND(([1]Source!CA2195/100)*ROUND(([1]Source!AF2195*[1]Source!AV2195)*[1]Source!I2195, 2), 2)</f>
        <v>10019.23</v>
      </c>
      <c r="AE2209">
        <f>[1]Source!Y2195</f>
        <v>10019.23</v>
      </c>
      <c r="AF2209">
        <f>ROUND((175/100)*ROUND(([1]Source!AE2195*[1]Source!AV2195)*[1]Source!I2195, 2), 2)</f>
        <v>0</v>
      </c>
      <c r="AG2209">
        <f>ROUND((108/100)*ROUND([1]Source!CS2195*[1]Source!I2195, 2), 2)</f>
        <v>0</v>
      </c>
    </row>
    <row r="2210" spans="1:33" x14ac:dyDescent="0.2">
      <c r="C2210" s="40" t="str">
        <f>"Объем: "&amp;[1]Source!I2195&amp;"=157,22/"&amp;"100"</f>
        <v>Объем: 1,5722=157,22/100</v>
      </c>
      <c r="M2210"/>
      <c r="N2210"/>
      <c r="O2210"/>
      <c r="P2210"/>
      <c r="Q2210"/>
    </row>
    <row r="2211" spans="1:33" ht="14.25" x14ac:dyDescent="0.2">
      <c r="A2211" s="31"/>
      <c r="B2211" s="31"/>
      <c r="C2211" s="31" t="s">
        <v>34</v>
      </c>
      <c r="D2211" s="32"/>
      <c r="E2211" s="4"/>
      <c r="F2211" s="33">
        <f>[1]Source!AO2195</f>
        <v>379.33</v>
      </c>
      <c r="G2211" s="34" t="str">
        <f>[1]Source!DG2195</f>
        <v>)*1*168</v>
      </c>
      <c r="H2211" s="4">
        <f>[1]Source!AV2195</f>
        <v>1</v>
      </c>
      <c r="I2211" s="4">
        <f>IF([1]Source!BA2195&lt;&gt; 0, [1]Source!BA2195, 1)</f>
        <v>1</v>
      </c>
      <c r="J2211" s="33">
        <f>[1]Source!S2195</f>
        <v>100192.28</v>
      </c>
      <c r="K2211" s="33"/>
      <c r="M2211"/>
      <c r="N2211"/>
      <c r="O2211"/>
      <c r="P2211"/>
      <c r="Q2211"/>
    </row>
    <row r="2212" spans="1:33" ht="14.25" x14ac:dyDescent="0.2">
      <c r="A2212" s="31"/>
      <c r="B2212" s="31"/>
      <c r="C2212" s="31" t="s">
        <v>40</v>
      </c>
      <c r="D2212" s="32" t="s">
        <v>39</v>
      </c>
      <c r="E2212" s="4">
        <f>[1]Source!AT2195</f>
        <v>70</v>
      </c>
      <c r="F2212" s="33"/>
      <c r="G2212" s="34"/>
      <c r="H2212" s="4"/>
      <c r="I2212" s="4"/>
      <c r="J2212" s="33">
        <f>SUM(AC2209:AC2211)</f>
        <v>70134.600000000006</v>
      </c>
      <c r="K2212" s="33"/>
      <c r="M2212"/>
      <c r="N2212"/>
      <c r="O2212"/>
      <c r="P2212"/>
      <c r="Q2212"/>
    </row>
    <row r="2213" spans="1:33" ht="14.25" x14ac:dyDescent="0.2">
      <c r="A2213" s="31"/>
      <c r="B2213" s="31"/>
      <c r="C2213" s="31" t="s">
        <v>41</v>
      </c>
      <c r="D2213" s="32" t="s">
        <v>39</v>
      </c>
      <c r="E2213" s="4">
        <f>[1]Source!AU2195</f>
        <v>10</v>
      </c>
      <c r="F2213" s="33"/>
      <c r="G2213" s="34"/>
      <c r="H2213" s="4"/>
      <c r="I2213" s="4"/>
      <c r="J2213" s="33">
        <f>SUM(AE2209:AE2212)</f>
        <v>10019.23</v>
      </c>
      <c r="K2213" s="33"/>
      <c r="M2213"/>
      <c r="N2213"/>
      <c r="O2213"/>
      <c r="P2213"/>
      <c r="Q2213"/>
    </row>
    <row r="2214" spans="1:33" ht="14.25" x14ac:dyDescent="0.2">
      <c r="A2214" s="31"/>
      <c r="B2214" s="31"/>
      <c r="C2214" s="31" t="s">
        <v>42</v>
      </c>
      <c r="D2214" s="32" t="s">
        <v>43</v>
      </c>
      <c r="E2214" s="4">
        <f>[1]Source!AQ2195</f>
        <v>1.53</v>
      </c>
      <c r="F2214" s="33"/>
      <c r="G2214" s="34" t="str">
        <f>[1]Source!DI2195</f>
        <v>)*1*168</v>
      </c>
      <c r="H2214" s="4">
        <f>[1]Source!AV2195</f>
        <v>1</v>
      </c>
      <c r="I2214" s="4"/>
      <c r="J2214" s="33"/>
      <c r="K2214" s="33">
        <f>[1]Source!U2195</f>
        <v>404.11828800000006</v>
      </c>
      <c r="M2214"/>
      <c r="N2214"/>
      <c r="O2214"/>
      <c r="P2214"/>
      <c r="Q2214"/>
    </row>
    <row r="2215" spans="1:33" ht="15" x14ac:dyDescent="0.25">
      <c r="A2215" s="35"/>
      <c r="B2215" s="35"/>
      <c r="C2215" s="35"/>
      <c r="D2215" s="35"/>
      <c r="E2215" s="35"/>
      <c r="F2215" s="35"/>
      <c r="G2215" s="35"/>
      <c r="H2215" s="35"/>
      <c r="I2215" s="36">
        <f>J2211+J2212+J2213</f>
        <v>180346.11000000002</v>
      </c>
      <c r="J2215" s="36"/>
      <c r="K2215" s="37">
        <f>IF([1]Source!I2195&lt;&gt;0, ROUND(I2215/[1]Source!I2195, 2), 0)</f>
        <v>114709.39</v>
      </c>
      <c r="M2215"/>
      <c r="N2215"/>
      <c r="O2215"/>
      <c r="P2215"/>
      <c r="Q2215"/>
      <c r="AA2215" s="38">
        <f>I2215</f>
        <v>180346.11000000002</v>
      </c>
    </row>
    <row r="2216" spans="1:33" ht="42.75" x14ac:dyDescent="0.2">
      <c r="A2216" s="31">
        <v>307</v>
      </c>
      <c r="B2216" s="31" t="str">
        <f>[1]Source!F2196</f>
        <v>5.3-1102-8-1/1</v>
      </c>
      <c r="C2216" s="31" t="str">
        <f>[1]Source!G2196</f>
        <v>Уборка свежевыпавшего снега вручную толщиной слоя до 10 см ( 561.5 м2 * 0,8*0,3*0,5 = 67,38 м2 )</v>
      </c>
      <c r="D2216" s="32" t="str">
        <f>[1]Source!H2196</f>
        <v>100 м2</v>
      </c>
      <c r="E2216" s="4">
        <f>[1]Source!I2196</f>
        <v>0.67379999999999995</v>
      </c>
      <c r="F2216" s="33"/>
      <c r="G2216" s="34"/>
      <c r="H2216" s="4"/>
      <c r="I2216" s="4"/>
      <c r="J2216" s="33"/>
      <c r="K2216" s="33"/>
      <c r="M2216"/>
      <c r="N2216"/>
      <c r="O2216"/>
      <c r="P2216"/>
      <c r="Q2216"/>
      <c r="AB2216">
        <f>ROUND(([1]Source!BZ2196/100)*ROUND(([1]Source!AF2196*[1]Source!AV2196)*[1]Source!I2196, 2), 2)</f>
        <v>51077.38</v>
      </c>
      <c r="AC2216">
        <f>[1]Source!X2196</f>
        <v>51077.38</v>
      </c>
      <c r="AD2216">
        <f>ROUND(([1]Source!CA2196/100)*ROUND(([1]Source!AF2196*[1]Source!AV2196)*[1]Source!I2196, 2), 2)</f>
        <v>7296.77</v>
      </c>
      <c r="AE2216">
        <f>[1]Source!Y2196</f>
        <v>7296.77</v>
      </c>
      <c r="AF2216">
        <f>ROUND((175/100)*ROUND(([1]Source!AE2196*[1]Source!AV2196)*[1]Source!I2196, 2), 2)</f>
        <v>0</v>
      </c>
      <c r="AG2216">
        <f>ROUND((108/100)*ROUND([1]Source!CS2196*[1]Source!I2196, 2), 2)</f>
        <v>0</v>
      </c>
    </row>
    <row r="2217" spans="1:33" x14ac:dyDescent="0.2">
      <c r="C2217" s="40" t="str">
        <f>"Объем: "&amp;[1]Source!I2196&amp;"=67,38/"&amp;"100"</f>
        <v>Объем: 0,6738=67,38/100</v>
      </c>
      <c r="M2217"/>
      <c r="N2217"/>
      <c r="O2217"/>
      <c r="P2217"/>
      <c r="Q2217"/>
    </row>
    <row r="2218" spans="1:33" ht="14.25" x14ac:dyDescent="0.2">
      <c r="A2218" s="31"/>
      <c r="B2218" s="31"/>
      <c r="C2218" s="31" t="s">
        <v>34</v>
      </c>
      <c r="D2218" s="32"/>
      <c r="E2218" s="4"/>
      <c r="F2218" s="33">
        <f>[1]Source!AO2196</f>
        <v>161.15</v>
      </c>
      <c r="G2218" s="34" t="str">
        <f>[1]Source!DG2196</f>
        <v>*4*168</v>
      </c>
      <c r="H2218" s="4">
        <f>[1]Source!AV2196</f>
        <v>1</v>
      </c>
      <c r="I2218" s="4">
        <f>IF([1]Source!BA2196&lt;&gt; 0, [1]Source!BA2196, 1)</f>
        <v>1</v>
      </c>
      <c r="J2218" s="33">
        <f>[1]Source!S2196</f>
        <v>72967.69</v>
      </c>
      <c r="K2218" s="33"/>
      <c r="M2218"/>
      <c r="N2218"/>
      <c r="O2218"/>
      <c r="P2218"/>
      <c r="Q2218"/>
    </row>
    <row r="2219" spans="1:33" ht="14.25" x14ac:dyDescent="0.2">
      <c r="A2219" s="31"/>
      <c r="B2219" s="31"/>
      <c r="C2219" s="31" t="s">
        <v>40</v>
      </c>
      <c r="D2219" s="32" t="s">
        <v>39</v>
      </c>
      <c r="E2219" s="4">
        <f>[1]Source!AT2196</f>
        <v>70</v>
      </c>
      <c r="F2219" s="33"/>
      <c r="G2219" s="34"/>
      <c r="H2219" s="4"/>
      <c r="I2219" s="4"/>
      <c r="J2219" s="33">
        <f>SUM(AC2216:AC2218)</f>
        <v>51077.38</v>
      </c>
      <c r="K2219" s="33"/>
      <c r="M2219"/>
      <c r="N2219"/>
      <c r="O2219"/>
      <c r="P2219"/>
      <c r="Q2219"/>
    </row>
    <row r="2220" spans="1:33" ht="14.25" x14ac:dyDescent="0.2">
      <c r="A2220" s="31"/>
      <c r="B2220" s="31"/>
      <c r="C2220" s="31" t="s">
        <v>41</v>
      </c>
      <c r="D2220" s="32" t="s">
        <v>39</v>
      </c>
      <c r="E2220" s="4">
        <f>[1]Source!AU2196</f>
        <v>10</v>
      </c>
      <c r="F2220" s="33"/>
      <c r="G2220" s="34"/>
      <c r="H2220" s="4"/>
      <c r="I2220" s="4"/>
      <c r="J2220" s="33">
        <f>SUM(AE2216:AE2219)</f>
        <v>7296.77</v>
      </c>
      <c r="K2220" s="33"/>
      <c r="M2220"/>
      <c r="N2220"/>
      <c r="O2220"/>
      <c r="P2220"/>
      <c r="Q2220"/>
    </row>
    <row r="2221" spans="1:33" ht="14.25" x14ac:dyDescent="0.2">
      <c r="A2221" s="31"/>
      <c r="B2221" s="31"/>
      <c r="C2221" s="31" t="s">
        <v>42</v>
      </c>
      <c r="D2221" s="32" t="s">
        <v>43</v>
      </c>
      <c r="E2221" s="4">
        <f>[1]Source!AQ2196</f>
        <v>0.65</v>
      </c>
      <c r="F2221" s="33"/>
      <c r="G2221" s="34" t="str">
        <f>[1]Source!DI2196</f>
        <v>*4*168</v>
      </c>
      <c r="H2221" s="4">
        <f>[1]Source!AV2196</f>
        <v>1</v>
      </c>
      <c r="I2221" s="4"/>
      <c r="J2221" s="33"/>
      <c r="K2221" s="33">
        <f>[1]Source!U2196</f>
        <v>294.31583999999998</v>
      </c>
      <c r="M2221"/>
      <c r="N2221"/>
      <c r="O2221"/>
      <c r="P2221"/>
      <c r="Q2221"/>
    </row>
    <row r="2222" spans="1:33" ht="15" x14ac:dyDescent="0.25">
      <c r="A2222" s="35"/>
      <c r="B2222" s="35"/>
      <c r="C2222" s="35"/>
      <c r="D2222" s="35"/>
      <c r="E2222" s="35"/>
      <c r="F2222" s="35"/>
      <c r="G2222" s="35"/>
      <c r="H2222" s="35"/>
      <c r="I2222" s="36">
        <f>J2218+J2219+J2220</f>
        <v>131341.84</v>
      </c>
      <c r="J2222" s="36"/>
      <c r="K2222" s="37">
        <f>IF([1]Source!I2196&lt;&gt;0, ROUND(I2222/[1]Source!I2196, 2), 0)</f>
        <v>194927.04</v>
      </c>
      <c r="M2222"/>
      <c r="N2222"/>
      <c r="O2222"/>
      <c r="P2222"/>
      <c r="Q2222"/>
      <c r="AA2222" s="38">
        <f>I2222</f>
        <v>131341.84</v>
      </c>
    </row>
    <row r="2223" spans="1:33" ht="57" x14ac:dyDescent="0.2">
      <c r="A2223" s="31">
        <v>308</v>
      </c>
      <c r="B2223" s="31" t="str">
        <f>[1]Source!F2197</f>
        <v>5.3-1102-8-2/1</v>
      </c>
      <c r="C2223" s="31" t="str">
        <f>[1]Source!G2197</f>
        <v>Уборка свежевыпавшего снега вручную, добавлять на каждые следующие 10 см увеличения толщины слоя</v>
      </c>
      <c r="D2223" s="32" t="str">
        <f>[1]Source!H2197</f>
        <v>100 м2</v>
      </c>
      <c r="E2223" s="4">
        <f>[1]Source!I2197</f>
        <v>0.67379999999999995</v>
      </c>
      <c r="F2223" s="33"/>
      <c r="G2223" s="34"/>
      <c r="H2223" s="4"/>
      <c r="I2223" s="4"/>
      <c r="J2223" s="33"/>
      <c r="K2223" s="33"/>
      <c r="M2223"/>
      <c r="N2223"/>
      <c r="O2223"/>
      <c r="P2223"/>
      <c r="Q2223"/>
      <c r="AB2223">
        <f>ROUND(([1]Source!BZ2197/100)*ROUND(([1]Source!AF2197*[1]Source!AV2197)*[1]Source!I2197, 2), 2)</f>
        <v>36934.83</v>
      </c>
      <c r="AC2223">
        <f>[1]Source!X2197</f>
        <v>36934.83</v>
      </c>
      <c r="AD2223">
        <f>ROUND(([1]Source!CA2197/100)*ROUND(([1]Source!AF2197*[1]Source!AV2197)*[1]Source!I2197, 2), 2)</f>
        <v>5276.4</v>
      </c>
      <c r="AE2223">
        <f>[1]Source!Y2197</f>
        <v>5276.4</v>
      </c>
      <c r="AF2223">
        <f>ROUND((175/100)*ROUND(([1]Source!AE2197*[1]Source!AV2197)*[1]Source!I2197, 2), 2)</f>
        <v>0</v>
      </c>
      <c r="AG2223">
        <f>ROUND((108/100)*ROUND([1]Source!CS2197*[1]Source!I2197, 2), 2)</f>
        <v>0</v>
      </c>
    </row>
    <row r="2224" spans="1:33" x14ac:dyDescent="0.2">
      <c r="C2224" s="40" t="str">
        <f>"Объем: "&amp;[1]Source!I2197&amp;"=67,38/"&amp;"100"</f>
        <v>Объем: 0,6738=67,38/100</v>
      </c>
      <c r="M2224"/>
      <c r="N2224"/>
      <c r="O2224"/>
      <c r="P2224"/>
      <c r="Q2224"/>
    </row>
    <row r="2225" spans="1:33" ht="14.25" x14ac:dyDescent="0.2">
      <c r="A2225" s="31"/>
      <c r="B2225" s="31"/>
      <c r="C2225" s="31" t="s">
        <v>34</v>
      </c>
      <c r="D2225" s="32"/>
      <c r="E2225" s="4"/>
      <c r="F2225" s="33">
        <f>[1]Source!AO2197</f>
        <v>116.53</v>
      </c>
      <c r="G2225" s="34" t="str">
        <f>[1]Source!DG2197</f>
        <v>*4*168</v>
      </c>
      <c r="H2225" s="4">
        <f>[1]Source!AV2197</f>
        <v>1</v>
      </c>
      <c r="I2225" s="4">
        <f>IF([1]Source!BA2197&lt;&gt; 0, [1]Source!BA2197, 1)</f>
        <v>1</v>
      </c>
      <c r="J2225" s="33">
        <f>[1]Source!S2197</f>
        <v>52764.04</v>
      </c>
      <c r="K2225" s="33"/>
      <c r="M2225"/>
      <c r="N2225"/>
      <c r="O2225"/>
      <c r="P2225"/>
      <c r="Q2225"/>
    </row>
    <row r="2226" spans="1:33" ht="14.25" x14ac:dyDescent="0.2">
      <c r="A2226" s="31"/>
      <c r="B2226" s="31"/>
      <c r="C2226" s="31" t="s">
        <v>40</v>
      </c>
      <c r="D2226" s="32" t="s">
        <v>39</v>
      </c>
      <c r="E2226" s="4">
        <f>[1]Source!AT2197</f>
        <v>70</v>
      </c>
      <c r="F2226" s="33"/>
      <c r="G2226" s="34"/>
      <c r="H2226" s="4"/>
      <c r="I2226" s="4"/>
      <c r="J2226" s="33">
        <f>SUM(AC2223:AC2225)</f>
        <v>36934.83</v>
      </c>
      <c r="K2226" s="33"/>
      <c r="M2226"/>
      <c r="N2226"/>
      <c r="O2226"/>
      <c r="P2226"/>
      <c r="Q2226"/>
    </row>
    <row r="2227" spans="1:33" ht="14.25" x14ac:dyDescent="0.2">
      <c r="A2227" s="31"/>
      <c r="B2227" s="31"/>
      <c r="C2227" s="31" t="s">
        <v>41</v>
      </c>
      <c r="D2227" s="32" t="s">
        <v>39</v>
      </c>
      <c r="E2227" s="4">
        <f>[1]Source!AU2197</f>
        <v>10</v>
      </c>
      <c r="F2227" s="33"/>
      <c r="G2227" s="34"/>
      <c r="H2227" s="4"/>
      <c r="I2227" s="4"/>
      <c r="J2227" s="33">
        <f>SUM(AE2223:AE2226)</f>
        <v>5276.4</v>
      </c>
      <c r="K2227" s="33"/>
      <c r="M2227"/>
      <c r="N2227"/>
      <c r="O2227"/>
      <c r="P2227"/>
      <c r="Q2227"/>
    </row>
    <row r="2228" spans="1:33" ht="14.25" x14ac:dyDescent="0.2">
      <c r="A2228" s="31"/>
      <c r="B2228" s="31"/>
      <c r="C2228" s="31" t="s">
        <v>42</v>
      </c>
      <c r="D2228" s="32" t="s">
        <v>43</v>
      </c>
      <c r="E2228" s="4">
        <f>[1]Source!AQ2197</f>
        <v>0.47</v>
      </c>
      <c r="F2228" s="33"/>
      <c r="G2228" s="34" t="str">
        <f>[1]Source!DI2197</f>
        <v>*4*168</v>
      </c>
      <c r="H2228" s="4">
        <f>[1]Source!AV2197</f>
        <v>1</v>
      </c>
      <c r="I2228" s="4"/>
      <c r="J2228" s="33"/>
      <c r="K2228" s="33">
        <f>[1]Source!U2197</f>
        <v>212.81299199999998</v>
      </c>
      <c r="M2228"/>
      <c r="N2228"/>
      <c r="O2228"/>
      <c r="P2228"/>
      <c r="Q2228"/>
    </row>
    <row r="2229" spans="1:33" ht="15" x14ac:dyDescent="0.25">
      <c r="A2229" s="35"/>
      <c r="B2229" s="35"/>
      <c r="C2229" s="35"/>
      <c r="D2229" s="35"/>
      <c r="E2229" s="35"/>
      <c r="F2229" s="35"/>
      <c r="G2229" s="35"/>
      <c r="H2229" s="35"/>
      <c r="I2229" s="36">
        <f>J2225+J2226+J2227</f>
        <v>94975.26999999999</v>
      </c>
      <c r="J2229" s="36"/>
      <c r="K2229" s="37">
        <f>IF([1]Source!I2197&lt;&gt;0, ROUND(I2229/[1]Source!I2197, 2), 0)</f>
        <v>140954.69</v>
      </c>
      <c r="M2229"/>
      <c r="N2229"/>
      <c r="O2229"/>
      <c r="P2229"/>
      <c r="Q2229"/>
      <c r="AA2229" s="38">
        <f>I2229</f>
        <v>94975.26999999999</v>
      </c>
    </row>
    <row r="2230" spans="1:33" ht="57" x14ac:dyDescent="0.2">
      <c r="A2230" s="31">
        <v>309</v>
      </c>
      <c r="B2230" s="31" t="str">
        <f>[1]Source!F2198</f>
        <v>5.3-1102-24-1/1</v>
      </c>
      <c r="C2230" s="31" t="str">
        <f>[1]Source!G2198</f>
        <v>Уборка свежевыпавшего снега ручной самоходной машиной - ширина захвата 120 см ( S=561,5м2*0,2=112,3м2)</v>
      </c>
      <c r="D2230" s="32" t="str">
        <f>[1]Source!H2198</f>
        <v>100 м2</v>
      </c>
      <c r="E2230" s="4">
        <f>[1]Source!I2198</f>
        <v>1.123</v>
      </c>
      <c r="F2230" s="33"/>
      <c r="G2230" s="34"/>
      <c r="H2230" s="4"/>
      <c r="I2230" s="4"/>
      <c r="J2230" s="33"/>
      <c r="K2230" s="33"/>
      <c r="M2230"/>
      <c r="N2230"/>
      <c r="O2230"/>
      <c r="P2230"/>
      <c r="Q2230"/>
      <c r="AB2230">
        <f>ROUND(([1]Source!BZ2198/100)*ROUND(([1]Source!AF2198*[1]Source!AV2198)*[1]Source!I2198, 2), 2)</f>
        <v>51272.84</v>
      </c>
      <c r="AC2230">
        <f>[1]Source!X2198</f>
        <v>51272.84</v>
      </c>
      <c r="AD2230">
        <f>ROUND(([1]Source!CA2198/100)*ROUND(([1]Source!AF2198*[1]Source!AV2198)*[1]Source!I2198, 2), 2)</f>
        <v>7324.69</v>
      </c>
      <c r="AE2230">
        <f>[1]Source!Y2198</f>
        <v>7324.69</v>
      </c>
      <c r="AF2230">
        <f>ROUND((175/100)*ROUND(([1]Source!AE2198*[1]Source!AV2198)*[1]Source!I2198, 2), 2)</f>
        <v>118.86</v>
      </c>
      <c r="AG2230">
        <f>ROUND((108/100)*ROUND([1]Source!CS2198*[1]Source!I2198, 2), 2)</f>
        <v>73.349999999999994</v>
      </c>
    </row>
    <row r="2231" spans="1:33" x14ac:dyDescent="0.2">
      <c r="C2231" s="40" t="str">
        <f>"Объем: "&amp;[1]Source!I2198&amp;"=112,3/"&amp;"100"</f>
        <v>Объем: 1,123=112,3/100</v>
      </c>
      <c r="M2231"/>
      <c r="N2231"/>
      <c r="O2231"/>
      <c r="P2231"/>
      <c r="Q2231"/>
    </row>
    <row r="2232" spans="1:33" ht="14.25" x14ac:dyDescent="0.2">
      <c r="A2232" s="31"/>
      <c r="B2232" s="31"/>
      <c r="C2232" s="31" t="s">
        <v>34</v>
      </c>
      <c r="D2232" s="32"/>
      <c r="E2232" s="4"/>
      <c r="F2232" s="33">
        <f>[1]Source!AO2198</f>
        <v>97.06</v>
      </c>
      <c r="G2232" s="34" t="str">
        <f>[1]Source!DG2198</f>
        <v>*4*168</v>
      </c>
      <c r="H2232" s="4">
        <f>[1]Source!AV2198</f>
        <v>1</v>
      </c>
      <c r="I2232" s="4">
        <f>IF([1]Source!BA2198&lt;&gt; 0, [1]Source!BA2198, 1)</f>
        <v>1</v>
      </c>
      <c r="J2232" s="33">
        <f>[1]Source!S2198</f>
        <v>73246.91</v>
      </c>
      <c r="K2232" s="33"/>
      <c r="M2232"/>
      <c r="N2232"/>
      <c r="O2232"/>
      <c r="P2232"/>
      <c r="Q2232"/>
    </row>
    <row r="2233" spans="1:33" ht="14.25" x14ac:dyDescent="0.2">
      <c r="A2233" s="31"/>
      <c r="B2233" s="31"/>
      <c r="C2233" s="31" t="s">
        <v>33</v>
      </c>
      <c r="D2233" s="32"/>
      <c r="E2233" s="4"/>
      <c r="F2233" s="33">
        <f>[1]Source!AM2198</f>
        <v>33.97</v>
      </c>
      <c r="G2233" s="34" t="str">
        <f>[1]Source!DE2198</f>
        <v>*4*168</v>
      </c>
      <c r="H2233" s="4">
        <f>[1]Source!AV2198</f>
        <v>1</v>
      </c>
      <c r="I2233" s="4">
        <f>IF([1]Source!BB2198&lt;&gt; 0, [1]Source!BB2198, 1)</f>
        <v>1</v>
      </c>
      <c r="J2233" s="33">
        <f>[1]Source!Q2198</f>
        <v>25635.66</v>
      </c>
      <c r="K2233" s="33"/>
      <c r="M2233"/>
      <c r="N2233"/>
      <c r="O2233"/>
      <c r="P2233"/>
      <c r="Q2233"/>
    </row>
    <row r="2234" spans="1:33" ht="14.25" x14ac:dyDescent="0.2">
      <c r="A2234" s="31"/>
      <c r="B2234" s="31"/>
      <c r="C2234" s="31" t="s">
        <v>37</v>
      </c>
      <c r="D2234" s="32"/>
      <c r="E2234" s="4"/>
      <c r="F2234" s="33">
        <f>[1]Source!AN2198</f>
        <v>0.09</v>
      </c>
      <c r="G2234" s="34" t="str">
        <f>[1]Source!DF2198</f>
        <v>*4*168</v>
      </c>
      <c r="H2234" s="4">
        <f>[1]Source!AV2198</f>
        <v>1</v>
      </c>
      <c r="I2234" s="4">
        <f>IF([1]Source!BS2198&lt;&gt; 0, [1]Source!BS2198, 1)</f>
        <v>1</v>
      </c>
      <c r="J2234" s="41">
        <f>[1]Source!R2198</f>
        <v>67.92</v>
      </c>
      <c r="K2234" s="33"/>
      <c r="M2234"/>
      <c r="N2234"/>
      <c r="O2234"/>
      <c r="P2234"/>
      <c r="Q2234"/>
    </row>
    <row r="2235" spans="1:33" ht="14.25" x14ac:dyDescent="0.2">
      <c r="A2235" s="31"/>
      <c r="B2235" s="31"/>
      <c r="C2235" s="31" t="s">
        <v>40</v>
      </c>
      <c r="D2235" s="32" t="s">
        <v>39</v>
      </c>
      <c r="E2235" s="4">
        <f>[1]Source!AT2198</f>
        <v>70</v>
      </c>
      <c r="F2235" s="33"/>
      <c r="G2235" s="34"/>
      <c r="H2235" s="4"/>
      <c r="I2235" s="4"/>
      <c r="J2235" s="33">
        <f>SUM(AC2230:AC2234)</f>
        <v>51272.84</v>
      </c>
      <c r="K2235" s="33"/>
      <c r="M2235"/>
      <c r="N2235"/>
      <c r="O2235"/>
      <c r="P2235"/>
      <c r="Q2235"/>
    </row>
    <row r="2236" spans="1:33" ht="14.25" x14ac:dyDescent="0.2">
      <c r="A2236" s="31"/>
      <c r="B2236" s="31"/>
      <c r="C2236" s="31" t="s">
        <v>41</v>
      </c>
      <c r="D2236" s="32" t="s">
        <v>39</v>
      </c>
      <c r="E2236" s="4">
        <f>[1]Source!AU2198</f>
        <v>10</v>
      </c>
      <c r="F2236" s="33"/>
      <c r="G2236" s="34"/>
      <c r="H2236" s="4"/>
      <c r="I2236" s="4"/>
      <c r="J2236" s="33">
        <f>SUM(AE2230:AE2235)</f>
        <v>7324.69</v>
      </c>
      <c r="K2236" s="33"/>
      <c r="M2236"/>
      <c r="N2236"/>
      <c r="O2236"/>
      <c r="P2236"/>
      <c r="Q2236"/>
    </row>
    <row r="2237" spans="1:33" ht="14.25" x14ac:dyDescent="0.2">
      <c r="A2237" s="31"/>
      <c r="B2237" s="31"/>
      <c r="C2237" s="31" t="s">
        <v>38</v>
      </c>
      <c r="D2237" s="32" t="s">
        <v>39</v>
      </c>
      <c r="E2237" s="4">
        <f>108</f>
        <v>108</v>
      </c>
      <c r="F2237" s="33"/>
      <c r="G2237" s="34"/>
      <c r="H2237" s="4"/>
      <c r="I2237" s="4"/>
      <c r="J2237" s="33">
        <f>SUM(AG2230:AG2236)</f>
        <v>73.349999999999994</v>
      </c>
      <c r="K2237" s="33"/>
      <c r="M2237"/>
      <c r="N2237"/>
      <c r="O2237"/>
      <c r="P2237"/>
      <c r="Q2237"/>
    </row>
    <row r="2238" spans="1:33" ht="14.25" x14ac:dyDescent="0.2">
      <c r="A2238" s="31"/>
      <c r="B2238" s="31"/>
      <c r="C2238" s="31" t="s">
        <v>42</v>
      </c>
      <c r="D2238" s="32" t="s">
        <v>43</v>
      </c>
      <c r="E2238" s="4">
        <f>[1]Source!AQ2198</f>
        <v>0.35</v>
      </c>
      <c r="F2238" s="33"/>
      <c r="G2238" s="34" t="str">
        <f>[1]Source!DI2198</f>
        <v>*4*168</v>
      </c>
      <c r="H2238" s="4">
        <f>[1]Source!AV2198</f>
        <v>1</v>
      </c>
      <c r="I2238" s="4"/>
      <c r="J2238" s="33"/>
      <c r="K2238" s="33">
        <f>[1]Source!U2198</f>
        <v>264.12959999999998</v>
      </c>
      <c r="M2238"/>
      <c r="N2238"/>
      <c r="O2238"/>
      <c r="P2238"/>
      <c r="Q2238"/>
    </row>
    <row r="2239" spans="1:33" ht="15" x14ac:dyDescent="0.25">
      <c r="A2239" s="35"/>
      <c r="B2239" s="35"/>
      <c r="C2239" s="35"/>
      <c r="D2239" s="35"/>
      <c r="E2239" s="35"/>
      <c r="F2239" s="35"/>
      <c r="G2239" s="35"/>
      <c r="H2239" s="35"/>
      <c r="I2239" s="36">
        <f>J2232+J2233+J2235+J2236+J2237</f>
        <v>157553.45000000001</v>
      </c>
      <c r="J2239" s="36"/>
      <c r="K2239" s="37">
        <f>IF([1]Source!I2198&lt;&gt;0, ROUND(I2239/[1]Source!I2198, 2), 0)</f>
        <v>140296.93</v>
      </c>
      <c r="M2239"/>
      <c r="N2239"/>
      <c r="O2239"/>
      <c r="P2239"/>
      <c r="Q2239"/>
      <c r="AA2239" s="38">
        <f>I2239</f>
        <v>157553.45000000001</v>
      </c>
    </row>
    <row r="2240" spans="1:33" ht="42.75" x14ac:dyDescent="0.2">
      <c r="A2240" s="31">
        <v>310</v>
      </c>
      <c r="B2240" s="31" t="str">
        <f>[1]Source!F2199</f>
        <v>5.3-1102-9-1/1</v>
      </c>
      <c r="C2240" s="31" t="str">
        <f>[1]Source!G2199</f>
        <v>Колка льда на обледеневших покрытиях вручную ( S=561,5м2*0,8*0,3*0,5= 67,38м2)</v>
      </c>
      <c r="D2240" s="32" t="str">
        <f>[1]Source!H2199</f>
        <v>100 м2</v>
      </c>
      <c r="E2240" s="4">
        <f>[1]Source!I2199</f>
        <v>0.67379999999999995</v>
      </c>
      <c r="F2240" s="33"/>
      <c r="G2240" s="34"/>
      <c r="H2240" s="4"/>
      <c r="I2240" s="4"/>
      <c r="J2240" s="33"/>
      <c r="K2240" s="33"/>
      <c r="M2240"/>
      <c r="N2240"/>
      <c r="O2240"/>
      <c r="P2240"/>
      <c r="Q2240"/>
      <c r="AB2240">
        <f>ROUND(([1]Source!BZ2199/100)*ROUND(([1]Source!AF2199*[1]Source!AV2199)*[1]Source!I2199, 2), 2)</f>
        <v>94692.05</v>
      </c>
      <c r="AC2240">
        <f>[1]Source!X2199</f>
        <v>94692.05</v>
      </c>
      <c r="AD2240">
        <f>ROUND(([1]Source!CA2199/100)*ROUND(([1]Source!AF2199*[1]Source!AV2199)*[1]Source!I2199, 2), 2)</f>
        <v>13527.44</v>
      </c>
      <c r="AE2240">
        <f>[1]Source!Y2199</f>
        <v>13527.44</v>
      </c>
      <c r="AF2240">
        <f>ROUND((175/100)*ROUND(([1]Source!AE2199*[1]Source!AV2199)*[1]Source!I2199, 2), 2)</f>
        <v>0</v>
      </c>
      <c r="AG2240">
        <f>ROUND((108/100)*ROUND([1]Source!CS2199*[1]Source!I2199, 2), 2)</f>
        <v>0</v>
      </c>
    </row>
    <row r="2241" spans="1:33" x14ac:dyDescent="0.2">
      <c r="C2241" s="40" t="str">
        <f>"Объем: "&amp;[1]Source!I2199&amp;"=67,38/"&amp;"100"</f>
        <v>Объем: 0,6738=67,38/100</v>
      </c>
      <c r="M2241"/>
      <c r="N2241"/>
      <c r="O2241"/>
      <c r="P2241"/>
      <c r="Q2241"/>
    </row>
    <row r="2242" spans="1:33" ht="14.25" x14ac:dyDescent="0.2">
      <c r="A2242" s="31"/>
      <c r="B2242" s="31"/>
      <c r="C2242" s="31" t="s">
        <v>34</v>
      </c>
      <c r="D2242" s="32"/>
      <c r="E2242" s="4"/>
      <c r="F2242" s="33">
        <f>[1]Source!AO2199</f>
        <v>597.51</v>
      </c>
      <c r="G2242" s="34" t="str">
        <f>[1]Source!DG2199</f>
        <v>)*2*168</v>
      </c>
      <c r="H2242" s="4">
        <f>[1]Source!AV2199</f>
        <v>1</v>
      </c>
      <c r="I2242" s="4">
        <f>IF([1]Source!BA2199&lt;&gt; 0, [1]Source!BA2199, 1)</f>
        <v>1</v>
      </c>
      <c r="J2242" s="33">
        <f>[1]Source!S2199</f>
        <v>135274.35</v>
      </c>
      <c r="K2242" s="33"/>
      <c r="M2242"/>
      <c r="N2242"/>
      <c r="O2242"/>
      <c r="P2242"/>
      <c r="Q2242"/>
    </row>
    <row r="2243" spans="1:33" ht="14.25" x14ac:dyDescent="0.2">
      <c r="A2243" s="31"/>
      <c r="B2243" s="31"/>
      <c r="C2243" s="31" t="s">
        <v>40</v>
      </c>
      <c r="D2243" s="32" t="s">
        <v>39</v>
      </c>
      <c r="E2243" s="4">
        <f>[1]Source!AT2199</f>
        <v>70</v>
      </c>
      <c r="F2243" s="33"/>
      <c r="G2243" s="34"/>
      <c r="H2243" s="4"/>
      <c r="I2243" s="4"/>
      <c r="J2243" s="33">
        <f>SUM(AC2240:AC2242)</f>
        <v>94692.05</v>
      </c>
      <c r="K2243" s="33"/>
      <c r="M2243"/>
      <c r="N2243"/>
      <c r="O2243"/>
      <c r="P2243"/>
      <c r="Q2243"/>
    </row>
    <row r="2244" spans="1:33" ht="14.25" x14ac:dyDescent="0.2">
      <c r="A2244" s="31"/>
      <c r="B2244" s="31"/>
      <c r="C2244" s="31" t="s">
        <v>41</v>
      </c>
      <c r="D2244" s="32" t="s">
        <v>39</v>
      </c>
      <c r="E2244" s="4">
        <f>[1]Source!AU2199</f>
        <v>10</v>
      </c>
      <c r="F2244" s="33"/>
      <c r="G2244" s="34"/>
      <c r="H2244" s="4"/>
      <c r="I2244" s="4"/>
      <c r="J2244" s="33">
        <f>SUM(AE2240:AE2243)</f>
        <v>13527.44</v>
      </c>
      <c r="K2244" s="33"/>
      <c r="M2244"/>
      <c r="N2244"/>
      <c r="O2244"/>
      <c r="P2244"/>
      <c r="Q2244"/>
    </row>
    <row r="2245" spans="1:33" ht="14.25" x14ac:dyDescent="0.2">
      <c r="A2245" s="31"/>
      <c r="B2245" s="31"/>
      <c r="C2245" s="31" t="s">
        <v>42</v>
      </c>
      <c r="D2245" s="32" t="s">
        <v>43</v>
      </c>
      <c r="E2245" s="4">
        <f>[1]Source!AQ2199</f>
        <v>2.41</v>
      </c>
      <c r="F2245" s="33"/>
      <c r="G2245" s="34" t="str">
        <f>[1]Source!DI2199</f>
        <v>)*2*168</v>
      </c>
      <c r="H2245" s="4">
        <f>[1]Source!AV2199</f>
        <v>1</v>
      </c>
      <c r="I2245" s="4"/>
      <c r="J2245" s="33"/>
      <c r="K2245" s="33">
        <f>[1]Source!U2199</f>
        <v>545.61628799999994</v>
      </c>
      <c r="M2245"/>
      <c r="N2245"/>
      <c r="O2245"/>
      <c r="P2245"/>
      <c r="Q2245"/>
    </row>
    <row r="2246" spans="1:33" ht="15" x14ac:dyDescent="0.25">
      <c r="A2246" s="35"/>
      <c r="B2246" s="35"/>
      <c r="C2246" s="35"/>
      <c r="D2246" s="35"/>
      <c r="E2246" s="35"/>
      <c r="F2246" s="35"/>
      <c r="G2246" s="35"/>
      <c r="H2246" s="35"/>
      <c r="I2246" s="36">
        <f>J2242+J2243+J2244</f>
        <v>243493.84000000003</v>
      </c>
      <c r="J2246" s="36"/>
      <c r="K2246" s="37">
        <f>IF([1]Source!I2199&lt;&gt;0, ROUND(I2246/[1]Source!I2199, 2), 0)</f>
        <v>361374.06</v>
      </c>
      <c r="M2246"/>
      <c r="N2246"/>
      <c r="O2246"/>
      <c r="P2246"/>
      <c r="Q2246"/>
      <c r="AA2246" s="38">
        <f>I2246</f>
        <v>243493.84000000003</v>
      </c>
    </row>
    <row r="2247" spans="1:33" ht="28.5" x14ac:dyDescent="0.2">
      <c r="A2247" s="31">
        <v>311</v>
      </c>
      <c r="B2247" s="31" t="str">
        <f>[1]Source!F2200</f>
        <v>калькуляция</v>
      </c>
      <c r="C2247" s="31" t="str">
        <f>[1]Source!G2200</f>
        <v>Посыпка гранитной крошкой  дорожных покрытий вручную( 100г/м2 )</v>
      </c>
      <c r="D2247" s="32" t="str">
        <f>[1]Source!H2200</f>
        <v>м2</v>
      </c>
      <c r="E2247" s="4">
        <f>[1]Source!I2200</f>
        <v>561.5</v>
      </c>
      <c r="F2247" s="33"/>
      <c r="G2247" s="34"/>
      <c r="H2247" s="4"/>
      <c r="I2247" s="4"/>
      <c r="J2247" s="33"/>
      <c r="K2247" s="33"/>
      <c r="M2247"/>
      <c r="N2247"/>
      <c r="O2247"/>
      <c r="P2247"/>
      <c r="Q2247"/>
      <c r="AB2247">
        <f>ROUND(([1]Source!BZ2200/100)*ROUND(([1]Source!AF2200*[1]Source!AV2200)*[1]Source!I2200, 2), 2)</f>
        <v>0</v>
      </c>
      <c r="AC2247">
        <f>[1]Source!X2200</f>
        <v>0</v>
      </c>
      <c r="AD2247">
        <f>ROUND(([1]Source!CA2200/100)*ROUND(([1]Source!AF2200*[1]Source!AV2200)*[1]Source!I2200, 2), 2)</f>
        <v>0</v>
      </c>
      <c r="AE2247">
        <f>[1]Source!Y2200</f>
        <v>0</v>
      </c>
      <c r="AF2247">
        <f>ROUND((175/100)*ROUND(([1]Source!AE2200*[1]Source!AV2200)*[1]Source!I2200, 2), 2)</f>
        <v>0</v>
      </c>
      <c r="AG2247">
        <f>ROUND((108/100)*ROUND([1]Source!CS2200*[1]Source!I2200, 2), 2)</f>
        <v>0</v>
      </c>
    </row>
    <row r="2248" spans="1:33" ht="14.25" x14ac:dyDescent="0.2">
      <c r="A2248" s="31"/>
      <c r="B2248" s="31"/>
      <c r="C2248" s="31" t="s">
        <v>34</v>
      </c>
      <c r="D2248" s="32"/>
      <c r="E2248" s="4"/>
      <c r="F2248" s="33">
        <f>[1]Source!AO2200</f>
        <v>2.08</v>
      </c>
      <c r="G2248" s="34" t="str">
        <f>[1]Source!DG2200</f>
        <v>*4*168</v>
      </c>
      <c r="H2248" s="4">
        <f>[1]Source!AV2200</f>
        <v>1</v>
      </c>
      <c r="I2248" s="4">
        <f>IF([1]Source!BA2200&lt;&gt; 0, [1]Source!BA2200, 1)</f>
        <v>1</v>
      </c>
      <c r="J2248" s="33">
        <f>[1]Source!S2200</f>
        <v>784842.23999999999</v>
      </c>
      <c r="K2248" s="33"/>
      <c r="M2248"/>
      <c r="N2248"/>
      <c r="O2248"/>
      <c r="P2248"/>
      <c r="Q2248"/>
    </row>
    <row r="2249" spans="1:33" ht="14.25" x14ac:dyDescent="0.2">
      <c r="A2249" s="31" t="s">
        <v>98</v>
      </c>
      <c r="B2249" s="31" t="str">
        <f>[1]Source!F2201</f>
        <v>цена поставщика</v>
      </c>
      <c r="C2249" s="31" t="str">
        <f>[1]Source!G2201</f>
        <v>Крошка гранитная</v>
      </c>
      <c r="D2249" s="32" t="str">
        <f>[1]Source!H2201</f>
        <v>кг</v>
      </c>
      <c r="E2249" s="4">
        <f>[1]Source!I2201</f>
        <v>37732.800000000003</v>
      </c>
      <c r="F2249" s="33">
        <f>[1]Source!AK2201</f>
        <v>4.43</v>
      </c>
      <c r="G2249" s="39" t="s">
        <v>68</v>
      </c>
      <c r="H2249" s="4">
        <f>[1]Source!AW2201</f>
        <v>1</v>
      </c>
      <c r="I2249" s="4">
        <f>IF([1]Source!BC2201&lt;&gt; 0, [1]Source!BC2201, 1)</f>
        <v>1</v>
      </c>
      <c r="J2249" s="33">
        <f>[1]Source!O2201</f>
        <v>167156.29999999999</v>
      </c>
      <c r="K2249" s="33"/>
      <c r="M2249"/>
      <c r="N2249"/>
      <c r="O2249"/>
      <c r="P2249"/>
      <c r="Q2249"/>
      <c r="AB2249">
        <f>ROUND(([1]Source!BZ2201/100)*ROUND(([1]Source!AF2201*[1]Source!AV2201)*[1]Source!I2201, 2), 2)</f>
        <v>0</v>
      </c>
      <c r="AC2249">
        <f>[1]Source!X2201</f>
        <v>0</v>
      </c>
      <c r="AD2249">
        <f>ROUND(([1]Source!CA2201/100)*ROUND(([1]Source!AF2201*[1]Source!AV2201)*[1]Source!I2201, 2), 2)</f>
        <v>0</v>
      </c>
      <c r="AE2249">
        <f>[1]Source!Y2201</f>
        <v>0</v>
      </c>
      <c r="AF2249">
        <f>ROUND((175/100)*ROUND(([1]Source!AE2201*[1]Source!AV2201)*[1]Source!I2201, 2), 2)</f>
        <v>0</v>
      </c>
      <c r="AG2249">
        <f>ROUND((108/100)*ROUND([1]Source!CS2201*[1]Source!I2201, 2), 2)</f>
        <v>0</v>
      </c>
    </row>
    <row r="2250" spans="1:33" ht="15" x14ac:dyDescent="0.25">
      <c r="A2250" s="35"/>
      <c r="B2250" s="35"/>
      <c r="C2250" s="35"/>
      <c r="D2250" s="35"/>
      <c r="E2250" s="35"/>
      <c r="F2250" s="35"/>
      <c r="G2250" s="35"/>
      <c r="H2250" s="35"/>
      <c r="I2250" s="36">
        <f>J2248+SUM(J2249:J2249)</f>
        <v>951998.54</v>
      </c>
      <c r="J2250" s="36"/>
      <c r="K2250" s="37">
        <f>IF([1]Source!I2200&lt;&gt;0, ROUND(I2250/[1]Source!I2200, 2), 0)</f>
        <v>1695.46</v>
      </c>
      <c r="M2250"/>
      <c r="N2250"/>
      <c r="O2250"/>
      <c r="P2250"/>
      <c r="Q2250"/>
      <c r="AA2250" s="38">
        <f>I2250</f>
        <v>951998.54</v>
      </c>
    </row>
    <row r="2251" spans="1:33" ht="28.5" x14ac:dyDescent="0.2">
      <c r="A2251" s="31">
        <v>312</v>
      </c>
      <c r="B2251" s="31" t="str">
        <f>[1]Source!F2202</f>
        <v>5.4-1201-1-1/1</v>
      </c>
      <c r="C2251" s="31" t="str">
        <f>[1]Source!G2202</f>
        <v>Сбор случайного мусора по территории</v>
      </c>
      <c r="D2251" s="32" t="str">
        <f>[1]Source!H2202</f>
        <v>100 м2</v>
      </c>
      <c r="E2251" s="4">
        <f>[1]Source!I2202</f>
        <v>5.6150000000000002</v>
      </c>
      <c r="F2251" s="33"/>
      <c r="G2251" s="34"/>
      <c r="H2251" s="4"/>
      <c r="I2251" s="4"/>
      <c r="J2251" s="33"/>
      <c r="K2251" s="33"/>
      <c r="M2251"/>
      <c r="N2251"/>
      <c r="O2251"/>
      <c r="P2251"/>
      <c r="Q2251"/>
      <c r="AB2251">
        <f>ROUND(([1]Source!BZ2202/100)*ROUND(([1]Source!AF2202*[1]Source!AV2202)*[1]Source!I2202, 2), 2)</f>
        <v>64724.33</v>
      </c>
      <c r="AC2251">
        <f>[1]Source!X2202</f>
        <v>64724.33</v>
      </c>
      <c r="AD2251">
        <f>ROUND(([1]Source!CA2202/100)*ROUND(([1]Source!AF2202*[1]Source!AV2202)*[1]Source!I2202, 2), 2)</f>
        <v>9246.33</v>
      </c>
      <c r="AE2251">
        <f>[1]Source!Y2202</f>
        <v>9246.33</v>
      </c>
      <c r="AF2251">
        <f>ROUND((175/100)*ROUND(([1]Source!AE2202*[1]Source!AV2202)*[1]Source!I2202, 2), 2)</f>
        <v>0</v>
      </c>
      <c r="AG2251">
        <f>ROUND((108/100)*ROUND([1]Source!CS2202*[1]Source!I2202, 2), 2)</f>
        <v>0</v>
      </c>
    </row>
    <row r="2252" spans="1:33" x14ac:dyDescent="0.2">
      <c r="C2252" s="40" t="str">
        <f>"Объем: "&amp;[1]Source!I2202&amp;"=561,5/"&amp;"100"</f>
        <v>Объем: 5,615=561,5/100</v>
      </c>
      <c r="M2252"/>
      <c r="N2252"/>
      <c r="O2252"/>
      <c r="P2252"/>
      <c r="Q2252"/>
    </row>
    <row r="2253" spans="1:33" ht="14.25" x14ac:dyDescent="0.2">
      <c r="A2253" s="31"/>
      <c r="B2253" s="31"/>
      <c r="C2253" s="31" t="s">
        <v>34</v>
      </c>
      <c r="D2253" s="32"/>
      <c r="E2253" s="4"/>
      <c r="F2253" s="33">
        <f>[1]Source!AO2202</f>
        <v>12.4</v>
      </c>
      <c r="G2253" s="34" t="str">
        <f>[1]Source!DG2202</f>
        <v>)*4*332</v>
      </c>
      <c r="H2253" s="4">
        <f>[1]Source!AV2202</f>
        <v>1</v>
      </c>
      <c r="I2253" s="4">
        <f>IF([1]Source!BA2202&lt;&gt; 0, [1]Source!BA2202, 1)</f>
        <v>1</v>
      </c>
      <c r="J2253" s="33">
        <f>[1]Source!S2202</f>
        <v>92463.33</v>
      </c>
      <c r="K2253" s="33"/>
      <c r="M2253"/>
      <c r="N2253"/>
      <c r="O2253"/>
      <c r="P2253"/>
      <c r="Q2253"/>
    </row>
    <row r="2254" spans="1:33" ht="14.25" x14ac:dyDescent="0.2">
      <c r="A2254" s="31"/>
      <c r="B2254" s="31"/>
      <c r="C2254" s="31" t="s">
        <v>47</v>
      </c>
      <c r="D2254" s="32"/>
      <c r="E2254" s="4"/>
      <c r="F2254" s="33">
        <f>[1]Source!AL2202</f>
        <v>0.69</v>
      </c>
      <c r="G2254" s="34" t="str">
        <f>[1]Source!DD2202</f>
        <v>)*4*332</v>
      </c>
      <c r="H2254" s="4">
        <f>[1]Source!AW2202</f>
        <v>1</v>
      </c>
      <c r="I2254" s="4">
        <f>IF([1]Source!BC2202&lt;&gt; 0, [1]Source!BC2202, 1)</f>
        <v>1</v>
      </c>
      <c r="J2254" s="33">
        <f>[1]Source!P2202</f>
        <v>5145.1400000000003</v>
      </c>
      <c r="K2254" s="33"/>
      <c r="M2254"/>
      <c r="N2254"/>
      <c r="O2254"/>
      <c r="P2254"/>
      <c r="Q2254"/>
    </row>
    <row r="2255" spans="1:33" ht="14.25" x14ac:dyDescent="0.2">
      <c r="A2255" s="31"/>
      <c r="B2255" s="31"/>
      <c r="C2255" s="31" t="s">
        <v>40</v>
      </c>
      <c r="D2255" s="32" t="s">
        <v>39</v>
      </c>
      <c r="E2255" s="4">
        <f>[1]Source!AT2202</f>
        <v>70</v>
      </c>
      <c r="F2255" s="33"/>
      <c r="G2255" s="34"/>
      <c r="H2255" s="4"/>
      <c r="I2255" s="4"/>
      <c r="J2255" s="33">
        <f>SUM(AC2251:AC2254)</f>
        <v>64724.33</v>
      </c>
      <c r="K2255" s="33"/>
      <c r="M2255"/>
      <c r="N2255"/>
      <c r="O2255"/>
      <c r="P2255"/>
      <c r="Q2255"/>
    </row>
    <row r="2256" spans="1:33" ht="14.25" x14ac:dyDescent="0.2">
      <c r="A2256" s="31"/>
      <c r="B2256" s="31"/>
      <c r="C2256" s="31" t="s">
        <v>41</v>
      </c>
      <c r="D2256" s="32" t="s">
        <v>39</v>
      </c>
      <c r="E2256" s="4">
        <f>[1]Source!AU2202</f>
        <v>10</v>
      </c>
      <c r="F2256" s="33"/>
      <c r="G2256" s="34"/>
      <c r="H2256" s="4"/>
      <c r="I2256" s="4"/>
      <c r="J2256" s="33">
        <f>SUM(AE2251:AE2255)</f>
        <v>9246.33</v>
      </c>
      <c r="K2256" s="33"/>
      <c r="M2256"/>
      <c r="N2256"/>
      <c r="O2256"/>
      <c r="P2256"/>
      <c r="Q2256"/>
    </row>
    <row r="2257" spans="1:33" ht="14.25" x14ac:dyDescent="0.2">
      <c r="A2257" s="31"/>
      <c r="B2257" s="31"/>
      <c r="C2257" s="31" t="s">
        <v>42</v>
      </c>
      <c r="D2257" s="32" t="s">
        <v>43</v>
      </c>
      <c r="E2257" s="4">
        <f>[1]Source!AQ2202</f>
        <v>0.05</v>
      </c>
      <c r="F2257" s="33"/>
      <c r="G2257" s="34" t="str">
        <f>[1]Source!DI2202</f>
        <v>)*4*332</v>
      </c>
      <c r="H2257" s="4">
        <f>[1]Source!AV2202</f>
        <v>1</v>
      </c>
      <c r="I2257" s="4"/>
      <c r="J2257" s="33"/>
      <c r="K2257" s="33">
        <f>[1]Source!U2202</f>
        <v>372.83600000000007</v>
      </c>
      <c r="M2257"/>
      <c r="N2257"/>
      <c r="O2257"/>
      <c r="P2257"/>
      <c r="Q2257"/>
    </row>
    <row r="2258" spans="1:33" ht="15" x14ac:dyDescent="0.25">
      <c r="A2258" s="35"/>
      <c r="B2258" s="35"/>
      <c r="C2258" s="35"/>
      <c r="D2258" s="35"/>
      <c r="E2258" s="35"/>
      <c r="F2258" s="35"/>
      <c r="G2258" s="35"/>
      <c r="H2258" s="35"/>
      <c r="I2258" s="36">
        <f>J2253+J2254+J2255+J2256</f>
        <v>171579.12999999998</v>
      </c>
      <c r="J2258" s="36"/>
      <c r="K2258" s="37">
        <f>IF([1]Source!I2202&lt;&gt;0, ROUND(I2258/[1]Source!I2202, 2), 0)</f>
        <v>30557.279999999999</v>
      </c>
      <c r="M2258"/>
      <c r="N2258"/>
      <c r="O2258"/>
      <c r="P2258"/>
      <c r="Q2258"/>
      <c r="AA2258" s="38">
        <f>I2258</f>
        <v>171579.12999999998</v>
      </c>
    </row>
    <row r="2259" spans="1:33" x14ac:dyDescent="0.2">
      <c r="M2259"/>
      <c r="N2259"/>
      <c r="O2259"/>
      <c r="P2259"/>
      <c r="Q2259"/>
    </row>
    <row r="2260" spans="1:33" ht="15" x14ac:dyDescent="0.25">
      <c r="A2260" s="42" t="str">
        <f>CONCATENATE("Итого по подразделу: ",IF([1]Source!G2204&lt;&gt;"Новый подраздел", [1]Source!G2204, ""))</f>
        <v>Итого по подразделу: Содержание покрытий ( S=561,5 м2)..</v>
      </c>
      <c r="B2260" s="42"/>
      <c r="C2260" s="42"/>
      <c r="D2260" s="42"/>
      <c r="E2260" s="42"/>
      <c r="F2260" s="42"/>
      <c r="G2260" s="42"/>
      <c r="H2260" s="42"/>
      <c r="I2260" s="43">
        <f>SUM(AA2198:AA2259)</f>
        <v>2723966.55</v>
      </c>
      <c r="J2260" s="44"/>
      <c r="K2260" s="47"/>
      <c r="L2260" s="38">
        <f>I2260</f>
        <v>2723966.55</v>
      </c>
      <c r="M2260" s="2">
        <f>ROUND(I2260*$I$4874,2)</f>
        <v>1967267.3</v>
      </c>
      <c r="N2260" s="2">
        <f>ROUND(M2260*1.2/105*100,2)</f>
        <v>2248305.4900000002</v>
      </c>
      <c r="O2260" s="2">
        <f>ROUND(N2260*0.05,2)</f>
        <v>112415.27</v>
      </c>
      <c r="P2260" s="2">
        <f>N2260+O2260</f>
        <v>2360720.7600000002</v>
      </c>
      <c r="Q2260" s="3">
        <v>66</v>
      </c>
      <c r="S2260" s="2">
        <v>432859.18</v>
      </c>
    </row>
    <row r="2261" spans="1:33" x14ac:dyDescent="0.2">
      <c r="M2261"/>
      <c r="N2261"/>
      <c r="O2261"/>
      <c r="P2261"/>
      <c r="Q2261"/>
    </row>
    <row r="2262" spans="1:33" x14ac:dyDescent="0.2">
      <c r="M2262"/>
      <c r="N2262"/>
      <c r="O2262"/>
      <c r="P2262"/>
      <c r="Q2262"/>
    </row>
    <row r="2263" spans="1:33" ht="16.5" x14ac:dyDescent="0.25">
      <c r="A2263" s="29" t="str">
        <f>CONCATENATE("Подраздел: ",IF([1]Source!G2234&lt;&gt;"Новый подраздел", [1]Source!G2234, ""))</f>
        <v>Подраздел: Уход за лестницей и крыльцом.</v>
      </c>
      <c r="B2263" s="29"/>
      <c r="C2263" s="29"/>
      <c r="D2263" s="29"/>
      <c r="E2263" s="29"/>
      <c r="F2263" s="29"/>
      <c r="G2263" s="29"/>
      <c r="H2263" s="29"/>
      <c r="I2263" s="29"/>
      <c r="J2263" s="29"/>
      <c r="K2263" s="29"/>
      <c r="M2263"/>
      <c r="N2263"/>
      <c r="O2263"/>
      <c r="P2263"/>
      <c r="Q2263"/>
    </row>
    <row r="2264" spans="1:33" ht="14.25" x14ac:dyDescent="0.2">
      <c r="A2264" s="31">
        <v>313</v>
      </c>
      <c r="B2264" s="31" t="str">
        <f>[1]Source!F2238</f>
        <v>калькуляция</v>
      </c>
      <c r="C2264" s="31" t="str">
        <f>[1]Source!G2238</f>
        <v>Подметание лестницы</v>
      </c>
      <c r="D2264" s="32" t="str">
        <f>[1]Source!H2238</f>
        <v>м2</v>
      </c>
      <c r="E2264" s="4">
        <f>[1]Source!I2238</f>
        <v>29.57</v>
      </c>
      <c r="F2264" s="33"/>
      <c r="G2264" s="34"/>
      <c r="H2264" s="4"/>
      <c r="I2264" s="4"/>
      <c r="J2264" s="33"/>
      <c r="K2264" s="33"/>
      <c r="M2264"/>
      <c r="N2264"/>
      <c r="O2264"/>
      <c r="P2264"/>
      <c r="Q2264"/>
      <c r="AB2264">
        <f>ROUND(([1]Source!BZ2238/100)*ROUND(([1]Source!AF2238*[1]Source!AV2238)*[1]Source!I2238, 2), 2)</f>
        <v>0</v>
      </c>
      <c r="AC2264">
        <f>[1]Source!X2238</f>
        <v>0</v>
      </c>
      <c r="AD2264">
        <f>ROUND(([1]Source!CA2238/100)*ROUND(([1]Source!AF2238*[1]Source!AV2238)*[1]Source!I2238, 2), 2)</f>
        <v>0</v>
      </c>
      <c r="AE2264">
        <f>[1]Source!Y2238</f>
        <v>0</v>
      </c>
      <c r="AF2264">
        <f>ROUND((175/100)*ROUND(([1]Source!AE2238*[1]Source!AV2238)*[1]Source!I2238, 2), 2)</f>
        <v>0</v>
      </c>
      <c r="AG2264">
        <f>ROUND((108/100)*ROUND([1]Source!CS2238*[1]Source!I2238, 2), 2)</f>
        <v>0</v>
      </c>
    </row>
    <row r="2265" spans="1:33" ht="14.25" x14ac:dyDescent="0.2">
      <c r="A2265" s="31"/>
      <c r="B2265" s="31"/>
      <c r="C2265" s="31" t="s">
        <v>34</v>
      </c>
      <c r="D2265" s="32"/>
      <c r="E2265" s="4"/>
      <c r="F2265" s="33">
        <f>[1]Source!AO2238</f>
        <v>1.94</v>
      </c>
      <c r="G2265" s="34" t="str">
        <f>[1]Source!DG2238</f>
        <v>)*4*164</v>
      </c>
      <c r="H2265" s="4">
        <f>[1]Source!AV2238</f>
        <v>1</v>
      </c>
      <c r="I2265" s="4">
        <f>IF([1]Source!BA2238&lt;&gt; 0, [1]Source!BA2238, 1)</f>
        <v>1</v>
      </c>
      <c r="J2265" s="33">
        <f>[1]Source!S2238</f>
        <v>37631.96</v>
      </c>
      <c r="K2265" s="33"/>
      <c r="M2265"/>
      <c r="N2265"/>
      <c r="O2265"/>
      <c r="P2265"/>
      <c r="Q2265"/>
    </row>
    <row r="2266" spans="1:33" ht="15" x14ac:dyDescent="0.25">
      <c r="A2266" s="35"/>
      <c r="B2266" s="35"/>
      <c r="C2266" s="35"/>
      <c r="D2266" s="35"/>
      <c r="E2266" s="35"/>
      <c r="F2266" s="35"/>
      <c r="G2266" s="35"/>
      <c r="H2266" s="35"/>
      <c r="I2266" s="36">
        <f>J2265</f>
        <v>37631.96</v>
      </c>
      <c r="J2266" s="36"/>
      <c r="K2266" s="37">
        <f>IF([1]Source!I2238&lt;&gt;0, ROUND(I2266/[1]Source!I2238, 2), 0)</f>
        <v>1272.6400000000001</v>
      </c>
      <c r="M2266"/>
      <c r="N2266"/>
      <c r="O2266"/>
      <c r="P2266"/>
      <c r="Q2266"/>
      <c r="AA2266" s="38">
        <f>I2266</f>
        <v>37631.96</v>
      </c>
    </row>
    <row r="2267" spans="1:33" ht="42.75" x14ac:dyDescent="0.2">
      <c r="A2267" s="31">
        <v>314</v>
      </c>
      <c r="B2267" s="31" t="str">
        <f>[1]Source!F2239</f>
        <v>5.3-1102-19-1/1</v>
      </c>
      <c r="C2267" s="31" t="str">
        <f>[1]Source!G2239</f>
        <v>Уборка лестниц от снега вручную на территории типа ВДНХ - толщиной до 10 см</v>
      </c>
      <c r="D2267" s="32" t="str">
        <f>[1]Source!H2239</f>
        <v>100 м2</v>
      </c>
      <c r="E2267" s="4">
        <f>[1]Source!I2239</f>
        <v>0.29570000000000002</v>
      </c>
      <c r="F2267" s="33"/>
      <c r="G2267" s="34"/>
      <c r="H2267" s="4"/>
      <c r="I2267" s="4"/>
      <c r="J2267" s="33"/>
      <c r="K2267" s="33"/>
      <c r="M2267"/>
      <c r="N2267"/>
      <c r="O2267"/>
      <c r="P2267"/>
      <c r="Q2267"/>
      <c r="AB2267">
        <f>ROUND(([1]Source!BZ2239/100)*ROUND(([1]Source!AF2239*[1]Source!AV2239)*[1]Source!I2239, 2), 2)</f>
        <v>21382.03</v>
      </c>
      <c r="AC2267">
        <f>[1]Source!X2239</f>
        <v>21382.03</v>
      </c>
      <c r="AD2267">
        <f>ROUND(([1]Source!CA2239/100)*ROUND(([1]Source!AF2239*[1]Source!AV2239)*[1]Source!I2239, 2), 2)</f>
        <v>3054.58</v>
      </c>
      <c r="AE2267">
        <f>[1]Source!Y2239</f>
        <v>3054.58</v>
      </c>
      <c r="AF2267">
        <f>ROUND((175/100)*ROUND(([1]Source!AE2239*[1]Source!AV2239)*[1]Source!I2239, 2), 2)</f>
        <v>0</v>
      </c>
      <c r="AG2267">
        <f>ROUND((108/100)*ROUND([1]Source!CS2239*[1]Source!I2239, 2), 2)</f>
        <v>0</v>
      </c>
    </row>
    <row r="2268" spans="1:33" x14ac:dyDescent="0.2">
      <c r="C2268" s="40" t="str">
        <f>"Объем: "&amp;[1]Source!I2239&amp;"=29,57/"&amp;"100"</f>
        <v>Объем: 0,2957=29,57/100</v>
      </c>
      <c r="M2268"/>
      <c r="N2268"/>
      <c r="O2268"/>
      <c r="P2268"/>
      <c r="Q2268"/>
    </row>
    <row r="2269" spans="1:33" ht="14.25" x14ac:dyDescent="0.2">
      <c r="A2269" s="31"/>
      <c r="B2269" s="31"/>
      <c r="C2269" s="31" t="s">
        <v>34</v>
      </c>
      <c r="D2269" s="32"/>
      <c r="E2269" s="4"/>
      <c r="F2269" s="33">
        <f>[1]Source!AO2239</f>
        <v>153.72</v>
      </c>
      <c r="G2269" s="34" t="str">
        <f>[1]Source!DG2239</f>
        <v>)*4*168</v>
      </c>
      <c r="H2269" s="4">
        <f>[1]Source!AV2239</f>
        <v>1</v>
      </c>
      <c r="I2269" s="4">
        <f>IF([1]Source!BA2239&lt;&gt; 0, [1]Source!BA2239, 1)</f>
        <v>1</v>
      </c>
      <c r="J2269" s="33">
        <f>[1]Source!S2239</f>
        <v>30545.759999999998</v>
      </c>
      <c r="K2269" s="33"/>
      <c r="M2269"/>
      <c r="N2269"/>
      <c r="O2269"/>
      <c r="P2269"/>
      <c r="Q2269"/>
    </row>
    <row r="2270" spans="1:33" ht="14.25" x14ac:dyDescent="0.2">
      <c r="A2270" s="31"/>
      <c r="B2270" s="31"/>
      <c r="C2270" s="31" t="s">
        <v>40</v>
      </c>
      <c r="D2270" s="32" t="s">
        <v>39</v>
      </c>
      <c r="E2270" s="4">
        <f>[1]Source!AT2239</f>
        <v>70</v>
      </c>
      <c r="F2270" s="33"/>
      <c r="G2270" s="34"/>
      <c r="H2270" s="4"/>
      <c r="I2270" s="4"/>
      <c r="J2270" s="33">
        <f>SUM(AC2267:AC2269)</f>
        <v>21382.03</v>
      </c>
      <c r="K2270" s="33"/>
      <c r="M2270"/>
      <c r="N2270"/>
      <c r="O2270"/>
      <c r="P2270"/>
      <c r="Q2270"/>
    </row>
    <row r="2271" spans="1:33" ht="14.25" x14ac:dyDescent="0.2">
      <c r="A2271" s="31"/>
      <c r="B2271" s="31"/>
      <c r="C2271" s="31" t="s">
        <v>41</v>
      </c>
      <c r="D2271" s="32" t="s">
        <v>39</v>
      </c>
      <c r="E2271" s="4">
        <f>[1]Source!AU2239</f>
        <v>10</v>
      </c>
      <c r="F2271" s="33"/>
      <c r="G2271" s="34"/>
      <c r="H2271" s="4"/>
      <c r="I2271" s="4"/>
      <c r="J2271" s="33">
        <f>SUM(AE2267:AE2270)</f>
        <v>3054.58</v>
      </c>
      <c r="K2271" s="33"/>
      <c r="M2271"/>
      <c r="N2271"/>
      <c r="O2271"/>
      <c r="P2271"/>
      <c r="Q2271"/>
    </row>
    <row r="2272" spans="1:33" ht="14.25" x14ac:dyDescent="0.2">
      <c r="A2272" s="31"/>
      <c r="B2272" s="31"/>
      <c r="C2272" s="31" t="s">
        <v>42</v>
      </c>
      <c r="D2272" s="32" t="s">
        <v>43</v>
      </c>
      <c r="E2272" s="4">
        <f>[1]Source!AQ2239</f>
        <v>0.62</v>
      </c>
      <c r="F2272" s="33"/>
      <c r="G2272" s="34" t="str">
        <f>[1]Source!DI2239</f>
        <v>)*4*168</v>
      </c>
      <c r="H2272" s="4">
        <f>[1]Source!AV2239</f>
        <v>1</v>
      </c>
      <c r="I2272" s="4"/>
      <c r="J2272" s="33"/>
      <c r="K2272" s="33">
        <f>[1]Source!U2239</f>
        <v>123.20044800000001</v>
      </c>
      <c r="M2272"/>
      <c r="N2272"/>
      <c r="O2272"/>
      <c r="P2272"/>
      <c r="Q2272"/>
    </row>
    <row r="2273" spans="1:33" ht="15" x14ac:dyDescent="0.25">
      <c r="A2273" s="35"/>
      <c r="B2273" s="35"/>
      <c r="C2273" s="35"/>
      <c r="D2273" s="35"/>
      <c r="E2273" s="35"/>
      <c r="F2273" s="35"/>
      <c r="G2273" s="35"/>
      <c r="H2273" s="35"/>
      <c r="I2273" s="36">
        <f>J2269+J2270+J2271</f>
        <v>54982.369999999995</v>
      </c>
      <c r="J2273" s="36"/>
      <c r="K2273" s="37">
        <f>IF([1]Source!I2239&lt;&gt;0, ROUND(I2273/[1]Source!I2239, 2), 0)</f>
        <v>185939.7</v>
      </c>
      <c r="M2273"/>
      <c r="N2273"/>
      <c r="O2273"/>
      <c r="P2273"/>
      <c r="Q2273"/>
      <c r="AA2273" s="38">
        <f>I2273</f>
        <v>54982.369999999995</v>
      </c>
    </row>
    <row r="2274" spans="1:33" ht="14.25" x14ac:dyDescent="0.2">
      <c r="A2274" s="31">
        <v>315</v>
      </c>
      <c r="B2274" s="31" t="str">
        <f>[1]Source!F2240</f>
        <v>5.3-1102-8-3/1</v>
      </c>
      <c r="C2274" s="31" t="str">
        <f>[1]Source!G2240</f>
        <v>Уборка слежавшегося снега вручную</v>
      </c>
      <c r="D2274" s="32" t="str">
        <f>[1]Source!H2240</f>
        <v>100 м2</v>
      </c>
      <c r="E2274" s="4">
        <f>[1]Source!I2240</f>
        <v>2.98E-2</v>
      </c>
      <c r="F2274" s="33"/>
      <c r="G2274" s="34"/>
      <c r="H2274" s="4"/>
      <c r="I2274" s="4"/>
      <c r="J2274" s="33"/>
      <c r="K2274" s="33"/>
      <c r="M2274"/>
      <c r="N2274"/>
      <c r="O2274"/>
      <c r="P2274"/>
      <c r="Q2274"/>
      <c r="AB2274">
        <f>ROUND(([1]Source!BZ2240/100)*ROUND(([1]Source!AF2240*[1]Source!AV2240)*[1]Source!I2240, 2), 2)</f>
        <v>332.34</v>
      </c>
      <c r="AC2274">
        <f>[1]Source!X2240</f>
        <v>332.34</v>
      </c>
      <c r="AD2274">
        <f>ROUND(([1]Source!CA2240/100)*ROUND(([1]Source!AF2240*[1]Source!AV2240)*[1]Source!I2240, 2), 2)</f>
        <v>47.48</v>
      </c>
      <c r="AE2274">
        <f>[1]Source!Y2240</f>
        <v>47.48</v>
      </c>
      <c r="AF2274">
        <f>ROUND((175/100)*ROUND(([1]Source!AE2240*[1]Source!AV2240)*[1]Source!I2240, 2), 2)</f>
        <v>0</v>
      </c>
      <c r="AG2274">
        <f>ROUND((108/100)*ROUND([1]Source!CS2240*[1]Source!I2240, 2), 2)</f>
        <v>0</v>
      </c>
    </row>
    <row r="2275" spans="1:33" x14ac:dyDescent="0.2">
      <c r="C2275" s="40" t="str">
        <f>"Объем: "&amp;[1]Source!I2240&amp;"=2,98/"&amp;"100"</f>
        <v>Объем: 0,0298=2,98/100</v>
      </c>
      <c r="M2275"/>
      <c r="N2275"/>
      <c r="O2275"/>
      <c r="P2275"/>
      <c r="Q2275"/>
    </row>
    <row r="2276" spans="1:33" ht="14.25" x14ac:dyDescent="0.2">
      <c r="A2276" s="31"/>
      <c r="B2276" s="31"/>
      <c r="C2276" s="31" t="s">
        <v>34</v>
      </c>
      <c r="D2276" s="32"/>
      <c r="E2276" s="4"/>
      <c r="F2276" s="33">
        <f>[1]Source!AO2240</f>
        <v>379.33</v>
      </c>
      <c r="G2276" s="34" t="str">
        <f>[1]Source!DG2240</f>
        <v>)*1*42</v>
      </c>
      <c r="H2276" s="4">
        <f>[1]Source!AV2240</f>
        <v>1</v>
      </c>
      <c r="I2276" s="4">
        <f>IF([1]Source!BA2240&lt;&gt; 0, [1]Source!BA2240, 1)</f>
        <v>1</v>
      </c>
      <c r="J2276" s="33">
        <f>[1]Source!S2240</f>
        <v>474.77</v>
      </c>
      <c r="K2276" s="33"/>
      <c r="M2276"/>
      <c r="N2276"/>
      <c r="O2276"/>
      <c r="P2276"/>
      <c r="Q2276"/>
    </row>
    <row r="2277" spans="1:33" ht="14.25" x14ac:dyDescent="0.2">
      <c r="A2277" s="31"/>
      <c r="B2277" s="31"/>
      <c r="C2277" s="31" t="s">
        <v>40</v>
      </c>
      <c r="D2277" s="32" t="s">
        <v>39</v>
      </c>
      <c r="E2277" s="4">
        <f>[1]Source!AT2240</f>
        <v>70</v>
      </c>
      <c r="F2277" s="33"/>
      <c r="G2277" s="34"/>
      <c r="H2277" s="4"/>
      <c r="I2277" s="4"/>
      <c r="J2277" s="33">
        <f>SUM(AC2274:AC2276)</f>
        <v>332.34</v>
      </c>
      <c r="K2277" s="33"/>
      <c r="M2277"/>
      <c r="N2277"/>
      <c r="O2277"/>
      <c r="P2277"/>
      <c r="Q2277"/>
    </row>
    <row r="2278" spans="1:33" ht="14.25" x14ac:dyDescent="0.2">
      <c r="A2278" s="31"/>
      <c r="B2278" s="31"/>
      <c r="C2278" s="31" t="s">
        <v>41</v>
      </c>
      <c r="D2278" s="32" t="s">
        <v>39</v>
      </c>
      <c r="E2278" s="4">
        <f>[1]Source!AU2240</f>
        <v>10</v>
      </c>
      <c r="F2278" s="33"/>
      <c r="G2278" s="34"/>
      <c r="H2278" s="4"/>
      <c r="I2278" s="4"/>
      <c r="J2278" s="33">
        <f>SUM(AE2274:AE2277)</f>
        <v>47.48</v>
      </c>
      <c r="K2278" s="33"/>
      <c r="M2278"/>
      <c r="N2278"/>
      <c r="O2278"/>
      <c r="P2278"/>
      <c r="Q2278"/>
    </row>
    <row r="2279" spans="1:33" ht="14.25" x14ac:dyDescent="0.2">
      <c r="A2279" s="31"/>
      <c r="B2279" s="31"/>
      <c r="C2279" s="31" t="s">
        <v>42</v>
      </c>
      <c r="D2279" s="32" t="s">
        <v>43</v>
      </c>
      <c r="E2279" s="4">
        <f>[1]Source!AQ2240</f>
        <v>1.53</v>
      </c>
      <c r="F2279" s="33"/>
      <c r="G2279" s="34" t="str">
        <f>[1]Source!DI2240</f>
        <v>)*1*42</v>
      </c>
      <c r="H2279" s="4">
        <f>[1]Source!AV2240</f>
        <v>1</v>
      </c>
      <c r="I2279" s="4"/>
      <c r="J2279" s="33"/>
      <c r="K2279" s="33">
        <f>[1]Source!U2240</f>
        <v>1.9149480000000001</v>
      </c>
      <c r="M2279"/>
      <c r="N2279"/>
      <c r="O2279"/>
      <c r="P2279"/>
      <c r="Q2279"/>
    </row>
    <row r="2280" spans="1:33" ht="15" x14ac:dyDescent="0.25">
      <c r="A2280" s="35"/>
      <c r="B2280" s="35"/>
      <c r="C2280" s="35"/>
      <c r="D2280" s="35"/>
      <c r="E2280" s="35"/>
      <c r="F2280" s="35"/>
      <c r="G2280" s="35"/>
      <c r="H2280" s="35"/>
      <c r="I2280" s="36">
        <f>J2276+J2277+J2278</f>
        <v>854.58999999999992</v>
      </c>
      <c r="J2280" s="36"/>
      <c r="K2280" s="37">
        <f>IF([1]Source!I2240&lt;&gt;0, ROUND(I2280/[1]Source!I2240, 2), 0)</f>
        <v>28677.52</v>
      </c>
      <c r="M2280"/>
      <c r="N2280"/>
      <c r="O2280"/>
      <c r="P2280"/>
      <c r="Q2280"/>
      <c r="AA2280" s="38">
        <f>I2280</f>
        <v>854.58999999999992</v>
      </c>
    </row>
    <row r="2281" spans="1:33" x14ac:dyDescent="0.2">
      <c r="M2281"/>
      <c r="N2281"/>
      <c r="O2281"/>
      <c r="P2281"/>
      <c r="Q2281"/>
    </row>
    <row r="2282" spans="1:33" ht="15" x14ac:dyDescent="0.25">
      <c r="A2282" s="42" t="str">
        <f>CONCATENATE("Итого по подразделу: ",IF([1]Source!G2242&lt;&gt;"Новый подраздел", [1]Source!G2242, ""))</f>
        <v>Итого по подразделу: Уход за лестницей и крыльцом.</v>
      </c>
      <c r="B2282" s="42"/>
      <c r="C2282" s="42"/>
      <c r="D2282" s="42"/>
      <c r="E2282" s="42"/>
      <c r="F2282" s="42"/>
      <c r="G2282" s="42"/>
      <c r="H2282" s="42"/>
      <c r="I2282" s="43">
        <f>SUM(AA2263:AA2281)</f>
        <v>93468.919999999984</v>
      </c>
      <c r="J2282" s="44"/>
      <c r="K2282" s="47"/>
      <c r="L2282" s="38">
        <f>I2282</f>
        <v>93468.919999999984</v>
      </c>
      <c r="M2282" s="2">
        <f>ROUND(I2282*$I$4874,2)</f>
        <v>67503.89</v>
      </c>
      <c r="N2282" s="2">
        <f>ROUND(M2282*1.2/105*100,2)</f>
        <v>77147.3</v>
      </c>
      <c r="O2282" s="2">
        <f>ROUND(N2282*0.05,2)</f>
        <v>3857.37</v>
      </c>
      <c r="P2282" s="2">
        <f>N2282+O2282</f>
        <v>81004.67</v>
      </c>
      <c r="Q2282" s="3">
        <v>67</v>
      </c>
      <c r="S2282" s="2">
        <v>14970.15</v>
      </c>
    </row>
    <row r="2283" spans="1:33" x14ac:dyDescent="0.2">
      <c r="M2283"/>
      <c r="N2283"/>
      <c r="O2283"/>
      <c r="P2283"/>
      <c r="Q2283"/>
    </row>
    <row r="2284" spans="1:33" x14ac:dyDescent="0.2">
      <c r="M2284"/>
      <c r="N2284"/>
      <c r="O2284"/>
      <c r="P2284"/>
      <c r="Q2284"/>
    </row>
    <row r="2285" spans="1:33" ht="15" x14ac:dyDescent="0.25">
      <c r="A2285" s="42" t="str">
        <f>CONCATENATE("Итого по разделу: ",IF([1]Source!G2272&lt;&gt;"Новый раздел", [1]Source!G2272, ""))</f>
        <v>Итого по разделу: " Старый Английский двор ".</v>
      </c>
      <c r="B2285" s="42"/>
      <c r="C2285" s="42"/>
      <c r="D2285" s="42"/>
      <c r="E2285" s="42"/>
      <c r="F2285" s="42"/>
      <c r="G2285" s="42"/>
      <c r="H2285" s="42"/>
      <c r="I2285" s="43">
        <f>SUM(AA2196:AA2284)</f>
        <v>2817435.4699999997</v>
      </c>
      <c r="J2285" s="44"/>
      <c r="K2285" s="47"/>
      <c r="L2285" s="38">
        <f>I2285</f>
        <v>2817435.4699999997</v>
      </c>
      <c r="M2285" s="2">
        <f>M2260+M2282</f>
        <v>2034771.19</v>
      </c>
      <c r="N2285" s="2">
        <f>N2260+N2282</f>
        <v>2325452.79</v>
      </c>
      <c r="O2285" s="2">
        <f>ROUND(N2285*0.05,2)</f>
        <v>116272.64</v>
      </c>
      <c r="P2285" s="2">
        <f>SUM(P2260:P2282)</f>
        <v>2441725.4300000002</v>
      </c>
      <c r="Q2285" s="48"/>
      <c r="R2285">
        <v>2</v>
      </c>
    </row>
    <row r="2286" spans="1:33" x14ac:dyDescent="0.2">
      <c r="M2286"/>
      <c r="N2286"/>
      <c r="O2286"/>
      <c r="P2286"/>
      <c r="Q2286"/>
    </row>
    <row r="2287" spans="1:33" x14ac:dyDescent="0.2">
      <c r="M2287"/>
      <c r="N2287"/>
      <c r="O2287"/>
      <c r="P2287"/>
      <c r="Q2287"/>
    </row>
    <row r="2288" spans="1:33" ht="16.5" x14ac:dyDescent="0.25">
      <c r="A2288" s="29" t="str">
        <f>CONCATENATE("Раздел: ",IF([1]Source!G2302&lt;&gt;"Новый раздел", [1]Source!G2302, ""))</f>
        <v>Раздел: Сбор и перемещение снега и скола к месту временного размещения( 2024г.)</v>
      </c>
      <c r="B2288" s="29"/>
      <c r="C2288" s="29"/>
      <c r="D2288" s="29"/>
      <c r="E2288" s="29"/>
      <c r="F2288" s="29"/>
      <c r="G2288" s="29"/>
      <c r="H2288" s="29"/>
      <c r="I2288" s="29"/>
      <c r="J2288" s="29"/>
      <c r="K2288" s="29"/>
      <c r="M2288"/>
      <c r="N2288"/>
      <c r="O2288"/>
      <c r="P2288"/>
      <c r="Q2288"/>
    </row>
    <row r="2289" spans="1:33" ht="85.5" x14ac:dyDescent="0.2">
      <c r="A2289" s="31">
        <v>316</v>
      </c>
      <c r="B2289" s="31" t="str">
        <f>[1]Source!F2306</f>
        <v>5.3-1102-25-1/1</v>
      </c>
      <c r="C2289" s="31" t="str">
        <f>[1]Source!G2306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</c>
      <c r="D2289" s="32" t="str">
        <f>[1]Source!H2306</f>
        <v>м3</v>
      </c>
      <c r="E2289" s="4">
        <f>[1]Source!I2306</f>
        <v>3707.75</v>
      </c>
      <c r="F2289" s="33"/>
      <c r="G2289" s="34"/>
      <c r="H2289" s="4"/>
      <c r="I2289" s="4"/>
      <c r="J2289" s="33"/>
      <c r="K2289" s="33"/>
      <c r="M2289"/>
      <c r="N2289"/>
      <c r="O2289"/>
      <c r="P2289"/>
      <c r="Q2289"/>
      <c r="AB2289">
        <f>ROUND(([1]Source!BZ2306/100)*ROUND(([1]Source!AF2306*[1]Source!AV2306)*[1]Source!I2306, 2), 2)</f>
        <v>238078.34</v>
      </c>
      <c r="AC2289">
        <f>[1]Source!X2306</f>
        <v>238078.34</v>
      </c>
      <c r="AD2289">
        <f>ROUND(([1]Source!CA2306/100)*ROUND(([1]Source!AF2306*[1]Source!AV2306)*[1]Source!I2306, 2), 2)</f>
        <v>34011.19</v>
      </c>
      <c r="AE2289">
        <f>[1]Source!Y2306</f>
        <v>34011.19</v>
      </c>
      <c r="AF2289">
        <f>ROUND((175/100)*ROUND(([1]Source!AE2306*[1]Source!AV2306)*[1]Source!I2306, 2), 2)</f>
        <v>1197529.1000000001</v>
      </c>
      <c r="AG2289">
        <f>ROUND((108/100)*ROUND([1]Source!CS2306*[1]Source!I2306, 2), 2)</f>
        <v>739046.53</v>
      </c>
    </row>
    <row r="2290" spans="1:33" ht="14.25" x14ac:dyDescent="0.2">
      <c r="A2290" s="31"/>
      <c r="B2290" s="31"/>
      <c r="C2290" s="31" t="s">
        <v>34</v>
      </c>
      <c r="D2290" s="32"/>
      <c r="E2290" s="4"/>
      <c r="F2290" s="33">
        <f>[1]Source!AO2306</f>
        <v>91.73</v>
      </c>
      <c r="G2290" s="34" t="str">
        <f>[1]Source!DG2306</f>
        <v>)*1</v>
      </c>
      <c r="H2290" s="4">
        <f>[1]Source!AV2306</f>
        <v>1</v>
      </c>
      <c r="I2290" s="4">
        <f>IF([1]Source!BA2306&lt;&gt; 0, [1]Source!BA2306, 1)</f>
        <v>1</v>
      </c>
      <c r="J2290" s="33">
        <f>[1]Source!S2306</f>
        <v>340111.91</v>
      </c>
      <c r="K2290" s="33"/>
      <c r="M2290"/>
      <c r="N2290"/>
      <c r="O2290"/>
      <c r="P2290"/>
      <c r="Q2290"/>
    </row>
    <row r="2291" spans="1:33" ht="14.25" x14ac:dyDescent="0.2">
      <c r="A2291" s="31"/>
      <c r="B2291" s="31"/>
      <c r="C2291" s="31" t="s">
        <v>33</v>
      </c>
      <c r="D2291" s="32"/>
      <c r="E2291" s="4"/>
      <c r="F2291" s="33">
        <f>[1]Source!AM2306</f>
        <v>382.15</v>
      </c>
      <c r="G2291" s="34" t="str">
        <f>[1]Source!DE2306</f>
        <v>)*1</v>
      </c>
      <c r="H2291" s="4">
        <f>[1]Source!AV2306</f>
        <v>1</v>
      </c>
      <c r="I2291" s="4">
        <f>IF([1]Source!BB2306&lt;&gt; 0, [1]Source!BB2306, 1)</f>
        <v>1</v>
      </c>
      <c r="J2291" s="33">
        <f>[1]Source!Q2306</f>
        <v>1416916.66</v>
      </c>
      <c r="K2291" s="33"/>
      <c r="M2291"/>
      <c r="N2291"/>
      <c r="O2291"/>
      <c r="P2291"/>
      <c r="Q2291"/>
    </row>
    <row r="2292" spans="1:33" ht="14.25" x14ac:dyDescent="0.2">
      <c r="A2292" s="31"/>
      <c r="B2292" s="31"/>
      <c r="C2292" s="31" t="s">
        <v>37</v>
      </c>
      <c r="D2292" s="32"/>
      <c r="E2292" s="4"/>
      <c r="F2292" s="33">
        <f>[1]Source!AN2306</f>
        <v>184.56</v>
      </c>
      <c r="G2292" s="34" t="str">
        <f>[1]Source!DF2306</f>
        <v>)*1</v>
      </c>
      <c r="H2292" s="4">
        <f>[1]Source!AV2306</f>
        <v>1</v>
      </c>
      <c r="I2292" s="4">
        <f>IF([1]Source!BS2306&lt;&gt; 0, [1]Source!BS2306, 1)</f>
        <v>1</v>
      </c>
      <c r="J2292" s="41">
        <f>[1]Source!R2306</f>
        <v>684302.34</v>
      </c>
      <c r="K2292" s="33"/>
      <c r="M2292"/>
      <c r="N2292"/>
      <c r="O2292"/>
      <c r="P2292"/>
      <c r="Q2292"/>
    </row>
    <row r="2293" spans="1:33" ht="14.25" x14ac:dyDescent="0.2">
      <c r="A2293" s="31"/>
      <c r="B2293" s="31"/>
      <c r="C2293" s="31" t="s">
        <v>40</v>
      </c>
      <c r="D2293" s="32" t="s">
        <v>39</v>
      </c>
      <c r="E2293" s="4">
        <f>[1]Source!AT2306</f>
        <v>70</v>
      </c>
      <c r="F2293" s="33"/>
      <c r="G2293" s="34"/>
      <c r="H2293" s="4"/>
      <c r="I2293" s="4"/>
      <c r="J2293" s="33">
        <f>SUM(AC2289:AC2292)</f>
        <v>238078.34</v>
      </c>
      <c r="K2293" s="33"/>
      <c r="M2293"/>
      <c r="N2293"/>
      <c r="O2293"/>
      <c r="P2293"/>
      <c r="Q2293"/>
    </row>
    <row r="2294" spans="1:33" ht="14.25" x14ac:dyDescent="0.2">
      <c r="A2294" s="31"/>
      <c r="B2294" s="31"/>
      <c r="C2294" s="31" t="s">
        <v>41</v>
      </c>
      <c r="D2294" s="32" t="s">
        <v>39</v>
      </c>
      <c r="E2294" s="4">
        <f>[1]Source!AU2306</f>
        <v>10</v>
      </c>
      <c r="F2294" s="33"/>
      <c r="G2294" s="34"/>
      <c r="H2294" s="4"/>
      <c r="I2294" s="4"/>
      <c r="J2294" s="33">
        <f>SUM(AE2289:AE2293)</f>
        <v>34011.19</v>
      </c>
      <c r="K2294" s="33"/>
      <c r="M2294"/>
      <c r="N2294"/>
      <c r="O2294"/>
      <c r="P2294"/>
      <c r="Q2294"/>
    </row>
    <row r="2295" spans="1:33" ht="14.25" x14ac:dyDescent="0.2">
      <c r="A2295" s="31"/>
      <c r="B2295" s="31"/>
      <c r="C2295" s="31" t="s">
        <v>38</v>
      </c>
      <c r="D2295" s="32" t="s">
        <v>39</v>
      </c>
      <c r="E2295" s="4">
        <f>108</f>
        <v>108</v>
      </c>
      <c r="F2295" s="33"/>
      <c r="G2295" s="34"/>
      <c r="H2295" s="4"/>
      <c r="I2295" s="4"/>
      <c r="J2295" s="33">
        <f>SUM(AG2289:AG2294)</f>
        <v>739046.53</v>
      </c>
      <c r="K2295" s="33"/>
      <c r="M2295"/>
      <c r="N2295"/>
      <c r="O2295"/>
      <c r="P2295"/>
      <c r="Q2295"/>
    </row>
    <row r="2296" spans="1:33" ht="14.25" x14ac:dyDescent="0.2">
      <c r="A2296" s="31"/>
      <c r="B2296" s="31"/>
      <c r="C2296" s="31" t="s">
        <v>42</v>
      </c>
      <c r="D2296" s="32" t="s">
        <v>43</v>
      </c>
      <c r="E2296" s="4">
        <f>[1]Source!AQ2306</f>
        <v>0.37</v>
      </c>
      <c r="F2296" s="33"/>
      <c r="G2296" s="34" t="str">
        <f>[1]Source!DI2306</f>
        <v>)*1</v>
      </c>
      <c r="H2296" s="4">
        <f>[1]Source!AV2306</f>
        <v>1</v>
      </c>
      <c r="I2296" s="4"/>
      <c r="J2296" s="33"/>
      <c r="K2296" s="33">
        <f>[1]Source!U2306</f>
        <v>1371.8675000000001</v>
      </c>
      <c r="M2296"/>
      <c r="N2296"/>
      <c r="O2296"/>
      <c r="P2296"/>
      <c r="Q2296"/>
    </row>
    <row r="2297" spans="1:33" ht="15" x14ac:dyDescent="0.25">
      <c r="A2297" s="35"/>
      <c r="B2297" s="35"/>
      <c r="C2297" s="35"/>
      <c r="D2297" s="35"/>
      <c r="E2297" s="35"/>
      <c r="F2297" s="35"/>
      <c r="G2297" s="35"/>
      <c r="H2297" s="35"/>
      <c r="I2297" s="36">
        <f>J2290+J2291+J2293+J2294+J2295</f>
        <v>2768164.63</v>
      </c>
      <c r="J2297" s="36"/>
      <c r="K2297" s="37">
        <f>IF([1]Source!I2306&lt;&gt;0, ROUND(I2297/[1]Source!I2306, 2), 0)</f>
        <v>746.59</v>
      </c>
      <c r="M2297"/>
      <c r="N2297"/>
      <c r="O2297"/>
      <c r="P2297"/>
      <c r="Q2297"/>
      <c r="AA2297" s="38">
        <f>I2297</f>
        <v>2768164.63</v>
      </c>
    </row>
    <row r="2298" spans="1:33" ht="85.5" x14ac:dyDescent="0.2">
      <c r="A2298" s="31">
        <v>317</v>
      </c>
      <c r="B2298" s="31" t="str">
        <f>[1]Source!F2307</f>
        <v>5.3-1102-25-2/1</v>
      </c>
      <c r="C2298" s="31" t="str">
        <f>[1]Source!G2307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298" s="32" t="str">
        <f>[1]Source!H2307</f>
        <v>м3</v>
      </c>
      <c r="E2298" s="4">
        <f>[1]Source!I2307</f>
        <v>-3707.75</v>
      </c>
      <c r="F2298" s="33"/>
      <c r="G2298" s="34"/>
      <c r="H2298" s="4"/>
      <c r="I2298" s="4"/>
      <c r="J2298" s="33"/>
      <c r="K2298" s="33"/>
      <c r="M2298"/>
      <c r="N2298"/>
      <c r="O2298"/>
      <c r="P2298"/>
      <c r="Q2298"/>
      <c r="AB2298">
        <f>ROUND(([1]Source!BZ2307/100)*ROUND(([1]Source!AF2307*[1]Source!AV2307)*[1]Source!I2307, 2), 2)</f>
        <v>-77239.850000000006</v>
      </c>
      <c r="AC2298">
        <f>[1]Source!X2307</f>
        <v>-77239.850000000006</v>
      </c>
      <c r="AD2298">
        <f>ROUND(([1]Source!CA2307/100)*ROUND(([1]Source!AF2307*[1]Source!AV2307)*[1]Source!I2307, 2), 2)</f>
        <v>-11034.26</v>
      </c>
      <c r="AE2298">
        <f>[1]Source!Y2307</f>
        <v>-11034.26</v>
      </c>
      <c r="AF2298">
        <f>ROUND((175/100)*ROUND(([1]Source!AE2307*[1]Source!AV2307)*[1]Source!I2307, 2), 2)</f>
        <v>-309893.75</v>
      </c>
      <c r="AG2298">
        <f>ROUND((108/100)*ROUND([1]Source!CS2307*[1]Source!I2307, 2), 2)</f>
        <v>-191248.71</v>
      </c>
    </row>
    <row r="2299" spans="1:33" ht="14.25" x14ac:dyDescent="0.2">
      <c r="A2299" s="31"/>
      <c r="B2299" s="31"/>
      <c r="C2299" s="31" t="s">
        <v>34</v>
      </c>
      <c r="D2299" s="32"/>
      <c r="E2299" s="4"/>
      <c r="F2299" s="33">
        <f>[1]Source!AO2307</f>
        <v>7.44</v>
      </c>
      <c r="G2299" s="34" t="str">
        <f>[1]Source!DG2307</f>
        <v>)*4</v>
      </c>
      <c r="H2299" s="4">
        <f>[1]Source!AV2307</f>
        <v>1</v>
      </c>
      <c r="I2299" s="4">
        <f>IF([1]Source!BA2307&lt;&gt; 0, [1]Source!BA2307, 1)</f>
        <v>1</v>
      </c>
      <c r="J2299" s="33">
        <f>[1]Source!S2307</f>
        <v>-110342.64</v>
      </c>
      <c r="K2299" s="33"/>
      <c r="M2299"/>
      <c r="N2299"/>
      <c r="O2299"/>
      <c r="P2299"/>
      <c r="Q2299"/>
    </row>
    <row r="2300" spans="1:33" ht="14.25" x14ac:dyDescent="0.2">
      <c r="A2300" s="31"/>
      <c r="B2300" s="31"/>
      <c r="C2300" s="31" t="s">
        <v>33</v>
      </c>
      <c r="D2300" s="32"/>
      <c r="E2300" s="4"/>
      <c r="F2300" s="33">
        <f>[1]Source!AM2307</f>
        <v>24.73</v>
      </c>
      <c r="G2300" s="34" t="str">
        <f>[1]Source!DE2307</f>
        <v>)*4</v>
      </c>
      <c r="H2300" s="4">
        <f>[1]Source!AV2307</f>
        <v>1</v>
      </c>
      <c r="I2300" s="4">
        <f>IF([1]Source!BB2307&lt;&gt; 0, [1]Source!BB2307, 1)</f>
        <v>1</v>
      </c>
      <c r="J2300" s="33">
        <f>[1]Source!Q2307</f>
        <v>-366770.63</v>
      </c>
      <c r="K2300" s="33"/>
      <c r="M2300"/>
      <c r="N2300"/>
      <c r="O2300"/>
      <c r="P2300"/>
      <c r="Q2300"/>
    </row>
    <row r="2301" spans="1:33" ht="14.25" x14ac:dyDescent="0.2">
      <c r="A2301" s="31"/>
      <c r="B2301" s="31"/>
      <c r="C2301" s="31" t="s">
        <v>37</v>
      </c>
      <c r="D2301" s="32"/>
      <c r="E2301" s="4"/>
      <c r="F2301" s="33">
        <f>[1]Source!AN2307</f>
        <v>11.94</v>
      </c>
      <c r="G2301" s="34" t="str">
        <f>[1]Source!DF2307</f>
        <v>)*4</v>
      </c>
      <c r="H2301" s="4">
        <f>[1]Source!AV2307</f>
        <v>1</v>
      </c>
      <c r="I2301" s="4">
        <f>IF([1]Source!BS2307&lt;&gt; 0, [1]Source!BS2307, 1)</f>
        <v>1</v>
      </c>
      <c r="J2301" s="41">
        <f>[1]Source!R2307</f>
        <v>-177082.14</v>
      </c>
      <c r="K2301" s="33"/>
      <c r="M2301"/>
      <c r="N2301"/>
      <c r="O2301"/>
      <c r="P2301"/>
      <c r="Q2301"/>
    </row>
    <row r="2302" spans="1:33" ht="14.25" x14ac:dyDescent="0.2">
      <c r="A2302" s="31"/>
      <c r="B2302" s="31"/>
      <c r="C2302" s="31" t="s">
        <v>40</v>
      </c>
      <c r="D2302" s="32" t="s">
        <v>39</v>
      </c>
      <c r="E2302" s="4">
        <f>[1]Source!AT2307</f>
        <v>70</v>
      </c>
      <c r="F2302" s="33"/>
      <c r="G2302" s="34"/>
      <c r="H2302" s="4"/>
      <c r="I2302" s="4"/>
      <c r="J2302" s="33">
        <f>SUM(AC2298:AC2301)</f>
        <v>-77239.850000000006</v>
      </c>
      <c r="K2302" s="33"/>
      <c r="M2302"/>
      <c r="N2302"/>
      <c r="O2302"/>
      <c r="P2302"/>
      <c r="Q2302"/>
    </row>
    <row r="2303" spans="1:33" ht="14.25" x14ac:dyDescent="0.2">
      <c r="A2303" s="31"/>
      <c r="B2303" s="31"/>
      <c r="C2303" s="31" t="s">
        <v>41</v>
      </c>
      <c r="D2303" s="32" t="s">
        <v>39</v>
      </c>
      <c r="E2303" s="4">
        <f>[1]Source!AU2307</f>
        <v>10</v>
      </c>
      <c r="F2303" s="33"/>
      <c r="G2303" s="34"/>
      <c r="H2303" s="4"/>
      <c r="I2303" s="4"/>
      <c r="J2303" s="33">
        <f>SUM(AE2298:AE2302)</f>
        <v>-11034.26</v>
      </c>
      <c r="K2303" s="33"/>
      <c r="M2303"/>
      <c r="N2303"/>
      <c r="O2303"/>
      <c r="P2303"/>
      <c r="Q2303"/>
    </row>
    <row r="2304" spans="1:33" ht="14.25" x14ac:dyDescent="0.2">
      <c r="A2304" s="31"/>
      <c r="B2304" s="31"/>
      <c r="C2304" s="31" t="s">
        <v>38</v>
      </c>
      <c r="D2304" s="32" t="s">
        <v>39</v>
      </c>
      <c r="E2304" s="4">
        <f>108</f>
        <v>108</v>
      </c>
      <c r="F2304" s="33"/>
      <c r="G2304" s="34"/>
      <c r="H2304" s="4"/>
      <c r="I2304" s="4"/>
      <c r="J2304" s="33">
        <f>SUM(AG2298:AG2303)</f>
        <v>-191248.71</v>
      </c>
      <c r="K2304" s="33"/>
      <c r="M2304"/>
      <c r="N2304"/>
      <c r="O2304"/>
      <c r="P2304"/>
      <c r="Q2304"/>
    </row>
    <row r="2305" spans="1:33" ht="14.25" x14ac:dyDescent="0.2">
      <c r="A2305" s="31"/>
      <c r="B2305" s="31"/>
      <c r="C2305" s="31" t="s">
        <v>42</v>
      </c>
      <c r="D2305" s="32" t="s">
        <v>43</v>
      </c>
      <c r="E2305" s="4">
        <f>[1]Source!AQ2307</f>
        <v>0.03</v>
      </c>
      <c r="F2305" s="33"/>
      <c r="G2305" s="34" t="str">
        <f>[1]Source!DI2307</f>
        <v>)*4</v>
      </c>
      <c r="H2305" s="4">
        <f>[1]Source!AV2307</f>
        <v>1</v>
      </c>
      <c r="I2305" s="4"/>
      <c r="J2305" s="33"/>
      <c r="K2305" s="33">
        <f>[1]Source!U2307</f>
        <v>-444.93</v>
      </c>
      <c r="M2305"/>
      <c r="N2305"/>
      <c r="O2305"/>
      <c r="P2305"/>
      <c r="Q2305"/>
    </row>
    <row r="2306" spans="1:33" ht="15" x14ac:dyDescent="0.25">
      <c r="A2306" s="35"/>
      <c r="B2306" s="35"/>
      <c r="C2306" s="35"/>
      <c r="D2306" s="35"/>
      <c r="E2306" s="35"/>
      <c r="F2306" s="35"/>
      <c r="G2306" s="35"/>
      <c r="H2306" s="35"/>
      <c r="I2306" s="36">
        <f>J2299+J2300+J2302+J2303+J2304</f>
        <v>-756636.09</v>
      </c>
      <c r="J2306" s="36"/>
      <c r="K2306" s="37">
        <f>IF([1]Source!I2307&lt;&gt;0, ROUND(I2306/[1]Source!I2307, 2), 0)</f>
        <v>204.07</v>
      </c>
      <c r="M2306"/>
      <c r="N2306"/>
      <c r="O2306"/>
      <c r="P2306"/>
      <c r="Q2306"/>
      <c r="AA2306" s="38">
        <f>I2306</f>
        <v>-756636.09</v>
      </c>
    </row>
    <row r="2307" spans="1:33" ht="85.5" x14ac:dyDescent="0.2">
      <c r="A2307" s="31">
        <v>318</v>
      </c>
      <c r="B2307" s="31" t="str">
        <f>[1]Source!F2308</f>
        <v>5.3-1102-25-1/1</v>
      </c>
      <c r="C2307" s="31" t="str">
        <f>[1]Source!G2308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</c>
      <c r="D2307" s="32" t="str">
        <f>[1]Source!H2308</f>
        <v>м3</v>
      </c>
      <c r="E2307" s="4">
        <f>[1]Source!I2308</f>
        <v>3707.75</v>
      </c>
      <c r="F2307" s="33"/>
      <c r="G2307" s="34"/>
      <c r="H2307" s="4"/>
      <c r="I2307" s="4"/>
      <c r="J2307" s="33"/>
      <c r="K2307" s="33"/>
      <c r="M2307"/>
      <c r="N2307"/>
      <c r="O2307"/>
      <c r="P2307"/>
      <c r="Q2307"/>
      <c r="AB2307">
        <f>ROUND(([1]Source!BZ2308/100)*ROUND(([1]Source!AF2308*[1]Source!AV2308)*[1]Source!I2308, 2), 2)</f>
        <v>238078.34</v>
      </c>
      <c r="AC2307">
        <f>[1]Source!X2308</f>
        <v>238078.34</v>
      </c>
      <c r="AD2307">
        <f>ROUND(([1]Source!CA2308/100)*ROUND(([1]Source!AF2308*[1]Source!AV2308)*[1]Source!I2308, 2), 2)</f>
        <v>34011.19</v>
      </c>
      <c r="AE2307">
        <f>[1]Source!Y2308</f>
        <v>34011.19</v>
      </c>
      <c r="AF2307">
        <f>ROUND((175/100)*ROUND(([1]Source!AE2308*[1]Source!AV2308)*[1]Source!I2308, 2), 2)</f>
        <v>1197529.1000000001</v>
      </c>
      <c r="AG2307">
        <f>ROUND((108/100)*ROUND([1]Source!CS2308*[1]Source!I2308, 2), 2)</f>
        <v>739046.53</v>
      </c>
    </row>
    <row r="2308" spans="1:33" ht="14.25" x14ac:dyDescent="0.2">
      <c r="A2308" s="31"/>
      <c r="B2308" s="31"/>
      <c r="C2308" s="31" t="s">
        <v>34</v>
      </c>
      <c r="D2308" s="32"/>
      <c r="E2308" s="4"/>
      <c r="F2308" s="33">
        <f>[1]Source!AO2308</f>
        <v>91.73</v>
      </c>
      <c r="G2308" s="34" t="str">
        <f>[1]Source!DG2308</f>
        <v>)*1</v>
      </c>
      <c r="H2308" s="4">
        <f>[1]Source!AV2308</f>
        <v>1</v>
      </c>
      <c r="I2308" s="4">
        <f>IF([1]Source!BA2308&lt;&gt; 0, [1]Source!BA2308, 1)</f>
        <v>1</v>
      </c>
      <c r="J2308" s="33">
        <f>[1]Source!S2308</f>
        <v>340111.91</v>
      </c>
      <c r="K2308" s="33"/>
      <c r="M2308"/>
      <c r="N2308"/>
      <c r="O2308"/>
      <c r="P2308"/>
      <c r="Q2308"/>
    </row>
    <row r="2309" spans="1:33" ht="14.25" x14ac:dyDescent="0.2">
      <c r="A2309" s="31"/>
      <c r="B2309" s="31"/>
      <c r="C2309" s="31" t="s">
        <v>33</v>
      </c>
      <c r="D2309" s="32"/>
      <c r="E2309" s="4"/>
      <c r="F2309" s="33">
        <f>[1]Source!AM2308</f>
        <v>382.15</v>
      </c>
      <c r="G2309" s="34" t="str">
        <f>[1]Source!DE2308</f>
        <v>)*1</v>
      </c>
      <c r="H2309" s="4">
        <f>[1]Source!AV2308</f>
        <v>1</v>
      </c>
      <c r="I2309" s="4">
        <f>IF([1]Source!BB2308&lt;&gt; 0, [1]Source!BB2308, 1)</f>
        <v>1</v>
      </c>
      <c r="J2309" s="33">
        <f>[1]Source!Q2308</f>
        <v>1416916.66</v>
      </c>
      <c r="K2309" s="33"/>
      <c r="M2309"/>
      <c r="N2309"/>
      <c r="O2309"/>
      <c r="P2309"/>
      <c r="Q2309"/>
    </row>
    <row r="2310" spans="1:33" ht="14.25" x14ac:dyDescent="0.2">
      <c r="A2310" s="31"/>
      <c r="B2310" s="31"/>
      <c r="C2310" s="31" t="s">
        <v>37</v>
      </c>
      <c r="D2310" s="32"/>
      <c r="E2310" s="4"/>
      <c r="F2310" s="33">
        <f>[1]Source!AN2308</f>
        <v>184.56</v>
      </c>
      <c r="G2310" s="34" t="str">
        <f>[1]Source!DF2308</f>
        <v>)*1</v>
      </c>
      <c r="H2310" s="4">
        <f>[1]Source!AV2308</f>
        <v>1</v>
      </c>
      <c r="I2310" s="4">
        <f>IF([1]Source!BS2308&lt;&gt; 0, [1]Source!BS2308, 1)</f>
        <v>1</v>
      </c>
      <c r="J2310" s="41">
        <f>[1]Source!R2308</f>
        <v>684302.34</v>
      </c>
      <c r="K2310" s="33"/>
      <c r="M2310"/>
      <c r="N2310"/>
      <c r="O2310"/>
      <c r="P2310"/>
      <c r="Q2310"/>
    </row>
    <row r="2311" spans="1:33" ht="14.25" x14ac:dyDescent="0.2">
      <c r="A2311" s="31"/>
      <c r="B2311" s="31"/>
      <c r="C2311" s="31" t="s">
        <v>40</v>
      </c>
      <c r="D2311" s="32" t="s">
        <v>39</v>
      </c>
      <c r="E2311" s="4">
        <f>[1]Source!AT2308</f>
        <v>70</v>
      </c>
      <c r="F2311" s="33"/>
      <c r="G2311" s="34"/>
      <c r="H2311" s="4"/>
      <c r="I2311" s="4"/>
      <c r="J2311" s="33">
        <f>SUM(AC2307:AC2310)</f>
        <v>238078.34</v>
      </c>
      <c r="K2311" s="33"/>
      <c r="M2311"/>
      <c r="N2311"/>
      <c r="O2311"/>
      <c r="P2311"/>
      <c r="Q2311"/>
    </row>
    <row r="2312" spans="1:33" ht="14.25" x14ac:dyDescent="0.2">
      <c r="A2312" s="31"/>
      <c r="B2312" s="31"/>
      <c r="C2312" s="31" t="s">
        <v>41</v>
      </c>
      <c r="D2312" s="32" t="s">
        <v>39</v>
      </c>
      <c r="E2312" s="4">
        <f>[1]Source!AU2308</f>
        <v>10</v>
      </c>
      <c r="F2312" s="33"/>
      <c r="G2312" s="34"/>
      <c r="H2312" s="4"/>
      <c r="I2312" s="4"/>
      <c r="J2312" s="33">
        <f>SUM(AE2307:AE2311)</f>
        <v>34011.19</v>
      </c>
      <c r="K2312" s="33"/>
      <c r="M2312"/>
      <c r="N2312"/>
      <c r="O2312"/>
      <c r="P2312"/>
      <c r="Q2312"/>
    </row>
    <row r="2313" spans="1:33" ht="14.25" x14ac:dyDescent="0.2">
      <c r="A2313" s="31"/>
      <c r="B2313" s="31"/>
      <c r="C2313" s="31" t="s">
        <v>38</v>
      </c>
      <c r="D2313" s="32" t="s">
        <v>39</v>
      </c>
      <c r="E2313" s="4">
        <f>108</f>
        <v>108</v>
      </c>
      <c r="F2313" s="33"/>
      <c r="G2313" s="34"/>
      <c r="H2313" s="4"/>
      <c r="I2313" s="4"/>
      <c r="J2313" s="33">
        <f>SUM(AG2307:AG2312)</f>
        <v>739046.53</v>
      </c>
      <c r="K2313" s="33"/>
      <c r="M2313"/>
      <c r="N2313"/>
      <c r="O2313"/>
      <c r="P2313"/>
      <c r="Q2313"/>
    </row>
    <row r="2314" spans="1:33" ht="14.25" x14ac:dyDescent="0.2">
      <c r="A2314" s="31"/>
      <c r="B2314" s="31"/>
      <c r="C2314" s="31" t="s">
        <v>42</v>
      </c>
      <c r="D2314" s="32" t="s">
        <v>43</v>
      </c>
      <c r="E2314" s="4">
        <f>[1]Source!AQ2308</f>
        <v>0.37</v>
      </c>
      <c r="F2314" s="33"/>
      <c r="G2314" s="34" t="str">
        <f>[1]Source!DI2308</f>
        <v>)*1</v>
      </c>
      <c r="H2314" s="4">
        <f>[1]Source!AV2308</f>
        <v>1</v>
      </c>
      <c r="I2314" s="4"/>
      <c r="J2314" s="33"/>
      <c r="K2314" s="33">
        <f>[1]Source!U2308</f>
        <v>1371.8675000000001</v>
      </c>
      <c r="M2314"/>
      <c r="N2314"/>
      <c r="O2314"/>
      <c r="P2314"/>
      <c r="Q2314"/>
    </row>
    <row r="2315" spans="1:33" ht="15" x14ac:dyDescent="0.25">
      <c r="A2315" s="35"/>
      <c r="B2315" s="35"/>
      <c r="C2315" s="35"/>
      <c r="D2315" s="35"/>
      <c r="E2315" s="35"/>
      <c r="F2315" s="35"/>
      <c r="G2315" s="35"/>
      <c r="H2315" s="35"/>
      <c r="I2315" s="36">
        <f>J2308+J2309+J2311+J2312+J2313</f>
        <v>2768164.63</v>
      </c>
      <c r="J2315" s="36"/>
      <c r="K2315" s="37">
        <f>IF([1]Source!I2308&lt;&gt;0, ROUND(I2315/[1]Source!I2308, 2), 0)</f>
        <v>746.59</v>
      </c>
      <c r="M2315"/>
      <c r="N2315"/>
      <c r="O2315"/>
      <c r="P2315"/>
      <c r="Q2315"/>
      <c r="AA2315" s="38">
        <f>I2315</f>
        <v>2768164.63</v>
      </c>
    </row>
    <row r="2316" spans="1:33" ht="85.5" x14ac:dyDescent="0.2">
      <c r="A2316" s="31">
        <v>319</v>
      </c>
      <c r="B2316" s="31" t="str">
        <f>[1]Source!F2309</f>
        <v>5.3-1102-25-2/1</v>
      </c>
      <c r="C2316" s="31" t="str">
        <f>[1]Source!G2309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316" s="32" t="str">
        <f>[1]Source!H2309</f>
        <v>м3</v>
      </c>
      <c r="E2316" s="4">
        <f>[1]Source!I2309</f>
        <v>-3707.75</v>
      </c>
      <c r="F2316" s="33"/>
      <c r="G2316" s="34"/>
      <c r="H2316" s="4"/>
      <c r="I2316" s="4"/>
      <c r="J2316" s="33"/>
      <c r="K2316" s="33"/>
      <c r="M2316"/>
      <c r="N2316"/>
      <c r="O2316"/>
      <c r="P2316"/>
      <c r="Q2316"/>
      <c r="AB2316">
        <f>ROUND(([1]Source!BZ2309/100)*ROUND(([1]Source!AF2309*[1]Source!AV2309)*[1]Source!I2309, 2), 2)</f>
        <v>-57929.89</v>
      </c>
      <c r="AC2316">
        <f>[1]Source!X2309</f>
        <v>-57929.89</v>
      </c>
      <c r="AD2316">
        <f>ROUND(([1]Source!CA2309/100)*ROUND(([1]Source!AF2309*[1]Source!AV2309)*[1]Source!I2309, 2), 2)</f>
        <v>-8275.7000000000007</v>
      </c>
      <c r="AE2316">
        <f>[1]Source!Y2309</f>
        <v>-8275.7000000000007</v>
      </c>
      <c r="AF2316">
        <f>ROUND((175/100)*ROUND(([1]Source!AE2309*[1]Source!AV2309)*[1]Source!I2309, 2), 2)</f>
        <v>-232420.32</v>
      </c>
      <c r="AG2316">
        <f>ROUND((108/100)*ROUND([1]Source!CS2309*[1]Source!I2309, 2), 2)</f>
        <v>-143436.54</v>
      </c>
    </row>
    <row r="2317" spans="1:33" ht="14.25" x14ac:dyDescent="0.2">
      <c r="A2317" s="31"/>
      <c r="B2317" s="31"/>
      <c r="C2317" s="31" t="s">
        <v>34</v>
      </c>
      <c r="D2317" s="32"/>
      <c r="E2317" s="4"/>
      <c r="F2317" s="33">
        <f>[1]Source!AO2309</f>
        <v>7.44</v>
      </c>
      <c r="G2317" s="34" t="str">
        <f>[1]Source!DG2309</f>
        <v>)*3</v>
      </c>
      <c r="H2317" s="4">
        <f>[1]Source!AV2309</f>
        <v>1</v>
      </c>
      <c r="I2317" s="4">
        <f>IF([1]Source!BA2309&lt;&gt; 0, [1]Source!BA2309, 1)</f>
        <v>1</v>
      </c>
      <c r="J2317" s="33">
        <f>[1]Source!S2309</f>
        <v>-82756.98</v>
      </c>
      <c r="K2317" s="33"/>
      <c r="M2317"/>
      <c r="N2317"/>
      <c r="O2317"/>
      <c r="P2317"/>
      <c r="Q2317"/>
    </row>
    <row r="2318" spans="1:33" ht="14.25" x14ac:dyDescent="0.2">
      <c r="A2318" s="31"/>
      <c r="B2318" s="31"/>
      <c r="C2318" s="31" t="s">
        <v>33</v>
      </c>
      <c r="D2318" s="32"/>
      <c r="E2318" s="4"/>
      <c r="F2318" s="33">
        <f>[1]Source!AM2309</f>
        <v>24.73</v>
      </c>
      <c r="G2318" s="34" t="str">
        <f>[1]Source!DE2309</f>
        <v>)*3</v>
      </c>
      <c r="H2318" s="4">
        <f>[1]Source!AV2309</f>
        <v>1</v>
      </c>
      <c r="I2318" s="4">
        <f>IF([1]Source!BB2309&lt;&gt; 0, [1]Source!BB2309, 1)</f>
        <v>1</v>
      </c>
      <c r="J2318" s="33">
        <f>[1]Source!Q2309</f>
        <v>-275077.96999999997</v>
      </c>
      <c r="K2318" s="33"/>
      <c r="M2318"/>
      <c r="N2318"/>
      <c r="O2318"/>
      <c r="P2318"/>
      <c r="Q2318"/>
    </row>
    <row r="2319" spans="1:33" ht="14.25" x14ac:dyDescent="0.2">
      <c r="A2319" s="31"/>
      <c r="B2319" s="31"/>
      <c r="C2319" s="31" t="s">
        <v>37</v>
      </c>
      <c r="D2319" s="32"/>
      <c r="E2319" s="4"/>
      <c r="F2319" s="33">
        <f>[1]Source!AN2309</f>
        <v>11.94</v>
      </c>
      <c r="G2319" s="34" t="str">
        <f>[1]Source!DF2309</f>
        <v>)*3</v>
      </c>
      <c r="H2319" s="4">
        <f>[1]Source!AV2309</f>
        <v>1</v>
      </c>
      <c r="I2319" s="4">
        <f>IF([1]Source!BS2309&lt;&gt; 0, [1]Source!BS2309, 1)</f>
        <v>1</v>
      </c>
      <c r="J2319" s="41">
        <f>[1]Source!R2309</f>
        <v>-132811.60999999999</v>
      </c>
      <c r="K2319" s="33"/>
      <c r="M2319"/>
      <c r="N2319"/>
      <c r="O2319"/>
      <c r="P2319"/>
      <c r="Q2319"/>
    </row>
    <row r="2320" spans="1:33" ht="14.25" x14ac:dyDescent="0.2">
      <c r="A2320" s="31"/>
      <c r="B2320" s="31"/>
      <c r="C2320" s="31" t="s">
        <v>40</v>
      </c>
      <c r="D2320" s="32" t="s">
        <v>39</v>
      </c>
      <c r="E2320" s="4">
        <f>[1]Source!AT2309</f>
        <v>70</v>
      </c>
      <c r="F2320" s="33"/>
      <c r="G2320" s="34"/>
      <c r="H2320" s="4"/>
      <c r="I2320" s="4"/>
      <c r="J2320" s="33">
        <f>SUM(AC2316:AC2319)</f>
        <v>-57929.89</v>
      </c>
      <c r="K2320" s="33"/>
      <c r="M2320"/>
      <c r="N2320"/>
      <c r="O2320"/>
      <c r="P2320"/>
      <c r="Q2320"/>
    </row>
    <row r="2321" spans="1:33" ht="14.25" x14ac:dyDescent="0.2">
      <c r="A2321" s="31"/>
      <c r="B2321" s="31"/>
      <c r="C2321" s="31" t="s">
        <v>41</v>
      </c>
      <c r="D2321" s="32" t="s">
        <v>39</v>
      </c>
      <c r="E2321" s="4">
        <f>[1]Source!AU2309</f>
        <v>10</v>
      </c>
      <c r="F2321" s="33"/>
      <c r="G2321" s="34"/>
      <c r="H2321" s="4"/>
      <c r="I2321" s="4"/>
      <c r="J2321" s="33">
        <f>SUM(AE2316:AE2320)</f>
        <v>-8275.7000000000007</v>
      </c>
      <c r="K2321" s="33"/>
      <c r="M2321"/>
      <c r="N2321"/>
      <c r="O2321"/>
      <c r="P2321"/>
      <c r="Q2321"/>
    </row>
    <row r="2322" spans="1:33" ht="14.25" x14ac:dyDescent="0.2">
      <c r="A2322" s="31"/>
      <c r="B2322" s="31"/>
      <c r="C2322" s="31" t="s">
        <v>38</v>
      </c>
      <c r="D2322" s="32" t="s">
        <v>39</v>
      </c>
      <c r="E2322" s="4">
        <f>108</f>
        <v>108</v>
      </c>
      <c r="F2322" s="33"/>
      <c r="G2322" s="34"/>
      <c r="H2322" s="4"/>
      <c r="I2322" s="4"/>
      <c r="J2322" s="33">
        <f>SUM(AG2316:AG2321)</f>
        <v>-143436.54</v>
      </c>
      <c r="K2322" s="33"/>
      <c r="M2322"/>
      <c r="N2322"/>
      <c r="O2322"/>
      <c r="P2322"/>
      <c r="Q2322"/>
    </row>
    <row r="2323" spans="1:33" ht="14.25" x14ac:dyDescent="0.2">
      <c r="A2323" s="31"/>
      <c r="B2323" s="31"/>
      <c r="C2323" s="31" t="s">
        <v>42</v>
      </c>
      <c r="D2323" s="32" t="s">
        <v>43</v>
      </c>
      <c r="E2323" s="4">
        <f>[1]Source!AQ2309</f>
        <v>0.03</v>
      </c>
      <c r="F2323" s="33"/>
      <c r="G2323" s="34" t="str">
        <f>[1]Source!DI2309</f>
        <v>)*3</v>
      </c>
      <c r="H2323" s="4">
        <f>[1]Source!AV2309</f>
        <v>1</v>
      </c>
      <c r="I2323" s="4"/>
      <c r="J2323" s="33"/>
      <c r="K2323" s="33">
        <f>[1]Source!U2309</f>
        <v>-333.69749999999999</v>
      </c>
      <c r="M2323"/>
      <c r="N2323"/>
      <c r="O2323"/>
      <c r="P2323"/>
      <c r="Q2323"/>
    </row>
    <row r="2324" spans="1:33" ht="15" x14ac:dyDescent="0.25">
      <c r="A2324" s="35"/>
      <c r="B2324" s="35"/>
      <c r="C2324" s="35"/>
      <c r="D2324" s="35"/>
      <c r="E2324" s="35"/>
      <c r="F2324" s="35"/>
      <c r="G2324" s="35"/>
      <c r="H2324" s="35"/>
      <c r="I2324" s="36">
        <f>J2317+J2318+J2320+J2321+J2322</f>
        <v>-567477.07999999996</v>
      </c>
      <c r="J2324" s="36"/>
      <c r="K2324" s="37">
        <f>IF([1]Source!I2309&lt;&gt;0, ROUND(I2324/[1]Source!I2309, 2), 0)</f>
        <v>153.05000000000001</v>
      </c>
      <c r="M2324"/>
      <c r="N2324"/>
      <c r="O2324"/>
      <c r="P2324"/>
      <c r="Q2324"/>
      <c r="AA2324" s="38">
        <f>I2324</f>
        <v>-567477.07999999996</v>
      </c>
    </row>
    <row r="2325" spans="1:33" ht="85.5" x14ac:dyDescent="0.2">
      <c r="A2325" s="31">
        <v>320</v>
      </c>
      <c r="B2325" s="31" t="str">
        <f>[1]Source!F2310</f>
        <v>5.3-1102-25-1/1</v>
      </c>
      <c r="C2325" s="31" t="str">
        <f>[1]Source!G2310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</c>
      <c r="D2325" s="32" t="str">
        <f>[1]Source!H2310</f>
        <v>м3</v>
      </c>
      <c r="E2325" s="4">
        <f>[1]Source!I2310</f>
        <v>3707.75</v>
      </c>
      <c r="F2325" s="33"/>
      <c r="G2325" s="34"/>
      <c r="H2325" s="4"/>
      <c r="I2325" s="4"/>
      <c r="J2325" s="33"/>
      <c r="K2325" s="33"/>
      <c r="M2325"/>
      <c r="N2325"/>
      <c r="O2325"/>
      <c r="P2325"/>
      <c r="Q2325"/>
      <c r="AB2325">
        <f>ROUND(([1]Source!BZ2310/100)*ROUND(([1]Source!AF2310*[1]Source!AV2310)*[1]Source!I2310, 2), 2)</f>
        <v>238078.34</v>
      </c>
      <c r="AC2325">
        <f>[1]Source!X2310</f>
        <v>238078.34</v>
      </c>
      <c r="AD2325">
        <f>ROUND(([1]Source!CA2310/100)*ROUND(([1]Source!AF2310*[1]Source!AV2310)*[1]Source!I2310, 2), 2)</f>
        <v>34011.19</v>
      </c>
      <c r="AE2325">
        <f>[1]Source!Y2310</f>
        <v>34011.19</v>
      </c>
      <c r="AF2325">
        <f>ROUND((175/100)*ROUND(([1]Source!AE2310*[1]Source!AV2310)*[1]Source!I2310, 2), 2)</f>
        <v>1197529.1000000001</v>
      </c>
      <c r="AG2325">
        <f>ROUND((108/100)*ROUND([1]Source!CS2310*[1]Source!I2310, 2), 2)</f>
        <v>739046.53</v>
      </c>
    </row>
    <row r="2326" spans="1:33" ht="14.25" x14ac:dyDescent="0.2">
      <c r="A2326" s="31"/>
      <c r="B2326" s="31"/>
      <c r="C2326" s="31" t="s">
        <v>34</v>
      </c>
      <c r="D2326" s="32"/>
      <c r="E2326" s="4"/>
      <c r="F2326" s="33">
        <f>[1]Source!AO2310</f>
        <v>91.73</v>
      </c>
      <c r="G2326" s="34" t="str">
        <f>[1]Source!DG2310</f>
        <v>)*1</v>
      </c>
      <c r="H2326" s="4">
        <f>[1]Source!AV2310</f>
        <v>1</v>
      </c>
      <c r="I2326" s="4">
        <f>IF([1]Source!BA2310&lt;&gt; 0, [1]Source!BA2310, 1)</f>
        <v>1</v>
      </c>
      <c r="J2326" s="33">
        <f>[1]Source!S2310</f>
        <v>340111.91</v>
      </c>
      <c r="K2326" s="33"/>
      <c r="M2326"/>
      <c r="N2326"/>
      <c r="O2326"/>
      <c r="P2326"/>
      <c r="Q2326"/>
    </row>
    <row r="2327" spans="1:33" ht="14.25" x14ac:dyDescent="0.2">
      <c r="A2327" s="31"/>
      <c r="B2327" s="31"/>
      <c r="C2327" s="31" t="s">
        <v>33</v>
      </c>
      <c r="D2327" s="32"/>
      <c r="E2327" s="4"/>
      <c r="F2327" s="33">
        <f>[1]Source!AM2310</f>
        <v>382.15</v>
      </c>
      <c r="G2327" s="34" t="str">
        <f>[1]Source!DE2310</f>
        <v>)*1</v>
      </c>
      <c r="H2327" s="4">
        <f>[1]Source!AV2310</f>
        <v>1</v>
      </c>
      <c r="I2327" s="4">
        <f>IF([1]Source!BB2310&lt;&gt; 0, [1]Source!BB2310, 1)</f>
        <v>1</v>
      </c>
      <c r="J2327" s="33">
        <f>[1]Source!Q2310</f>
        <v>1416916.66</v>
      </c>
      <c r="K2327" s="33"/>
      <c r="M2327"/>
      <c r="N2327"/>
      <c r="O2327"/>
      <c r="P2327"/>
      <c r="Q2327"/>
    </row>
    <row r="2328" spans="1:33" ht="14.25" x14ac:dyDescent="0.2">
      <c r="A2328" s="31"/>
      <c r="B2328" s="31"/>
      <c r="C2328" s="31" t="s">
        <v>37</v>
      </c>
      <c r="D2328" s="32"/>
      <c r="E2328" s="4"/>
      <c r="F2328" s="33">
        <f>[1]Source!AN2310</f>
        <v>184.56</v>
      </c>
      <c r="G2328" s="34" t="str">
        <f>[1]Source!DF2310</f>
        <v>)*1</v>
      </c>
      <c r="H2328" s="4">
        <f>[1]Source!AV2310</f>
        <v>1</v>
      </c>
      <c r="I2328" s="4">
        <f>IF([1]Source!BS2310&lt;&gt; 0, [1]Source!BS2310, 1)</f>
        <v>1</v>
      </c>
      <c r="J2328" s="41">
        <f>[1]Source!R2310</f>
        <v>684302.34</v>
      </c>
      <c r="K2328" s="33"/>
      <c r="M2328"/>
      <c r="N2328"/>
      <c r="O2328"/>
      <c r="P2328"/>
      <c r="Q2328"/>
    </row>
    <row r="2329" spans="1:33" ht="14.25" x14ac:dyDescent="0.2">
      <c r="A2329" s="31"/>
      <c r="B2329" s="31"/>
      <c r="C2329" s="31" t="s">
        <v>40</v>
      </c>
      <c r="D2329" s="32" t="s">
        <v>39</v>
      </c>
      <c r="E2329" s="4">
        <f>[1]Source!AT2310</f>
        <v>70</v>
      </c>
      <c r="F2329" s="33"/>
      <c r="G2329" s="34"/>
      <c r="H2329" s="4"/>
      <c r="I2329" s="4"/>
      <c r="J2329" s="33">
        <f>SUM(AC2325:AC2328)</f>
        <v>238078.34</v>
      </c>
      <c r="K2329" s="33"/>
      <c r="M2329"/>
      <c r="N2329"/>
      <c r="O2329"/>
      <c r="P2329"/>
      <c r="Q2329"/>
    </row>
    <row r="2330" spans="1:33" ht="14.25" x14ac:dyDescent="0.2">
      <c r="A2330" s="31"/>
      <c r="B2330" s="31"/>
      <c r="C2330" s="31" t="s">
        <v>41</v>
      </c>
      <c r="D2330" s="32" t="s">
        <v>39</v>
      </c>
      <c r="E2330" s="4">
        <f>[1]Source!AU2310</f>
        <v>10</v>
      </c>
      <c r="F2330" s="33"/>
      <c r="G2330" s="34"/>
      <c r="H2330" s="4"/>
      <c r="I2330" s="4"/>
      <c r="J2330" s="33">
        <f>SUM(AE2325:AE2329)</f>
        <v>34011.19</v>
      </c>
      <c r="K2330" s="33"/>
      <c r="M2330"/>
      <c r="N2330"/>
      <c r="O2330"/>
      <c r="P2330"/>
      <c r="Q2330"/>
    </row>
    <row r="2331" spans="1:33" ht="14.25" x14ac:dyDescent="0.2">
      <c r="A2331" s="31"/>
      <c r="B2331" s="31"/>
      <c r="C2331" s="31" t="s">
        <v>38</v>
      </c>
      <c r="D2331" s="32" t="s">
        <v>39</v>
      </c>
      <c r="E2331" s="4">
        <f>108</f>
        <v>108</v>
      </c>
      <c r="F2331" s="33"/>
      <c r="G2331" s="34"/>
      <c r="H2331" s="4"/>
      <c r="I2331" s="4"/>
      <c r="J2331" s="33">
        <f>SUM(AG2325:AG2330)</f>
        <v>739046.53</v>
      </c>
      <c r="K2331" s="33"/>
      <c r="M2331"/>
      <c r="N2331"/>
      <c r="O2331"/>
      <c r="P2331"/>
      <c r="Q2331"/>
    </row>
    <row r="2332" spans="1:33" ht="14.25" x14ac:dyDescent="0.2">
      <c r="A2332" s="31"/>
      <c r="B2332" s="31"/>
      <c r="C2332" s="31" t="s">
        <v>42</v>
      </c>
      <c r="D2332" s="32" t="s">
        <v>43</v>
      </c>
      <c r="E2332" s="4">
        <f>[1]Source!AQ2310</f>
        <v>0.37</v>
      </c>
      <c r="F2332" s="33"/>
      <c r="G2332" s="34" t="str">
        <f>[1]Source!DI2310</f>
        <v>)*1</v>
      </c>
      <c r="H2332" s="4">
        <f>[1]Source!AV2310</f>
        <v>1</v>
      </c>
      <c r="I2332" s="4"/>
      <c r="J2332" s="33"/>
      <c r="K2332" s="33">
        <f>[1]Source!U2310</f>
        <v>1371.8675000000001</v>
      </c>
      <c r="M2332"/>
      <c r="N2332"/>
      <c r="O2332"/>
      <c r="P2332"/>
      <c r="Q2332"/>
    </row>
    <row r="2333" spans="1:33" ht="15" x14ac:dyDescent="0.25">
      <c r="A2333" s="35"/>
      <c r="B2333" s="35"/>
      <c r="C2333" s="35"/>
      <c r="D2333" s="35"/>
      <c r="E2333" s="35"/>
      <c r="F2333" s="35"/>
      <c r="G2333" s="35"/>
      <c r="H2333" s="35"/>
      <c r="I2333" s="36">
        <f>J2326+J2327+J2329+J2330+J2331</f>
        <v>2768164.63</v>
      </c>
      <c r="J2333" s="36"/>
      <c r="K2333" s="37">
        <f>IF([1]Source!I2310&lt;&gt;0, ROUND(I2333/[1]Source!I2310, 2), 0)</f>
        <v>746.59</v>
      </c>
      <c r="M2333"/>
      <c r="N2333"/>
      <c r="O2333"/>
      <c r="P2333"/>
      <c r="Q2333"/>
      <c r="AA2333" s="38">
        <f>I2333</f>
        <v>2768164.63</v>
      </c>
    </row>
    <row r="2334" spans="1:33" ht="85.5" x14ac:dyDescent="0.2">
      <c r="A2334" s="31">
        <v>321</v>
      </c>
      <c r="B2334" s="31" t="str">
        <f>[1]Source!F2311</f>
        <v>5.3-1102-25-2/1</v>
      </c>
      <c r="C2334" s="31" t="str">
        <f>[1]Source!G2311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334" s="32" t="str">
        <f>[1]Source!H2311</f>
        <v>м3</v>
      </c>
      <c r="E2334" s="4">
        <f>[1]Source!I2311</f>
        <v>-3707.75</v>
      </c>
      <c r="F2334" s="33"/>
      <c r="G2334" s="34"/>
      <c r="H2334" s="4"/>
      <c r="I2334" s="4"/>
      <c r="J2334" s="33"/>
      <c r="K2334" s="33"/>
      <c r="M2334"/>
      <c r="N2334"/>
      <c r="O2334"/>
      <c r="P2334"/>
      <c r="Q2334"/>
      <c r="AB2334">
        <f>ROUND(([1]Source!BZ2311/100)*ROUND(([1]Source!AF2311*[1]Source!AV2311)*[1]Source!I2311, 2), 2)</f>
        <v>-38619.919999999998</v>
      </c>
      <c r="AC2334">
        <f>[1]Source!X2311</f>
        <v>-38619.919999999998</v>
      </c>
      <c r="AD2334">
        <f>ROUND(([1]Source!CA2311/100)*ROUND(([1]Source!AF2311*[1]Source!AV2311)*[1]Source!I2311, 2), 2)</f>
        <v>-5517.13</v>
      </c>
      <c r="AE2334">
        <f>[1]Source!Y2311</f>
        <v>-5517.13</v>
      </c>
      <c r="AF2334">
        <f>ROUND((175/100)*ROUND(([1]Source!AE2311*[1]Source!AV2311)*[1]Source!I2311, 2), 2)</f>
        <v>-154946.87</v>
      </c>
      <c r="AG2334">
        <f>ROUND((108/100)*ROUND([1]Source!CS2311*[1]Source!I2311, 2), 2)</f>
        <v>-95624.36</v>
      </c>
    </row>
    <row r="2335" spans="1:33" ht="14.25" x14ac:dyDescent="0.2">
      <c r="A2335" s="31"/>
      <c r="B2335" s="31"/>
      <c r="C2335" s="31" t="s">
        <v>34</v>
      </c>
      <c r="D2335" s="32"/>
      <c r="E2335" s="4"/>
      <c r="F2335" s="33">
        <f>[1]Source!AO2311</f>
        <v>7.44</v>
      </c>
      <c r="G2335" s="34" t="str">
        <f>[1]Source!DG2311</f>
        <v>)*2</v>
      </c>
      <c r="H2335" s="4">
        <f>[1]Source!AV2311</f>
        <v>1</v>
      </c>
      <c r="I2335" s="4">
        <f>IF([1]Source!BA2311&lt;&gt; 0, [1]Source!BA2311, 1)</f>
        <v>1</v>
      </c>
      <c r="J2335" s="33">
        <f>[1]Source!S2311</f>
        <v>-55171.32</v>
      </c>
      <c r="K2335" s="33"/>
      <c r="M2335"/>
      <c r="N2335"/>
      <c r="O2335"/>
      <c r="P2335"/>
      <c r="Q2335"/>
    </row>
    <row r="2336" spans="1:33" ht="14.25" x14ac:dyDescent="0.2">
      <c r="A2336" s="31"/>
      <c r="B2336" s="31"/>
      <c r="C2336" s="31" t="s">
        <v>33</v>
      </c>
      <c r="D2336" s="32"/>
      <c r="E2336" s="4"/>
      <c r="F2336" s="33">
        <f>[1]Source!AM2311</f>
        <v>24.73</v>
      </c>
      <c r="G2336" s="34" t="str">
        <f>[1]Source!DE2311</f>
        <v>)*2</v>
      </c>
      <c r="H2336" s="4">
        <f>[1]Source!AV2311</f>
        <v>1</v>
      </c>
      <c r="I2336" s="4">
        <f>IF([1]Source!BB2311&lt;&gt; 0, [1]Source!BB2311, 1)</f>
        <v>1</v>
      </c>
      <c r="J2336" s="33">
        <f>[1]Source!Q2311</f>
        <v>-183385.32</v>
      </c>
      <c r="K2336" s="33"/>
      <c r="M2336"/>
      <c r="N2336"/>
      <c r="O2336"/>
      <c r="P2336"/>
      <c r="Q2336"/>
    </row>
    <row r="2337" spans="1:33" ht="14.25" x14ac:dyDescent="0.2">
      <c r="A2337" s="31"/>
      <c r="B2337" s="31"/>
      <c r="C2337" s="31" t="s">
        <v>37</v>
      </c>
      <c r="D2337" s="32"/>
      <c r="E2337" s="4"/>
      <c r="F2337" s="33">
        <f>[1]Source!AN2311</f>
        <v>11.94</v>
      </c>
      <c r="G2337" s="34" t="str">
        <f>[1]Source!DF2311</f>
        <v>)*2</v>
      </c>
      <c r="H2337" s="4">
        <f>[1]Source!AV2311</f>
        <v>1</v>
      </c>
      <c r="I2337" s="4">
        <f>IF([1]Source!BS2311&lt;&gt; 0, [1]Source!BS2311, 1)</f>
        <v>1</v>
      </c>
      <c r="J2337" s="41">
        <f>[1]Source!R2311</f>
        <v>-88541.07</v>
      </c>
      <c r="K2337" s="33"/>
      <c r="M2337"/>
      <c r="N2337"/>
      <c r="O2337"/>
      <c r="P2337"/>
      <c r="Q2337"/>
    </row>
    <row r="2338" spans="1:33" ht="14.25" x14ac:dyDescent="0.2">
      <c r="A2338" s="31"/>
      <c r="B2338" s="31"/>
      <c r="C2338" s="31" t="s">
        <v>40</v>
      </c>
      <c r="D2338" s="32" t="s">
        <v>39</v>
      </c>
      <c r="E2338" s="4">
        <f>[1]Source!AT2311</f>
        <v>70</v>
      </c>
      <c r="F2338" s="33"/>
      <c r="G2338" s="34"/>
      <c r="H2338" s="4"/>
      <c r="I2338" s="4"/>
      <c r="J2338" s="33">
        <f>SUM(AC2334:AC2337)</f>
        <v>-38619.919999999998</v>
      </c>
      <c r="K2338" s="33"/>
      <c r="M2338"/>
      <c r="N2338"/>
      <c r="O2338"/>
      <c r="P2338"/>
      <c r="Q2338"/>
    </row>
    <row r="2339" spans="1:33" ht="14.25" x14ac:dyDescent="0.2">
      <c r="A2339" s="31"/>
      <c r="B2339" s="31"/>
      <c r="C2339" s="31" t="s">
        <v>41</v>
      </c>
      <c r="D2339" s="32" t="s">
        <v>39</v>
      </c>
      <c r="E2339" s="4">
        <f>[1]Source!AU2311</f>
        <v>10</v>
      </c>
      <c r="F2339" s="33"/>
      <c r="G2339" s="34"/>
      <c r="H2339" s="4"/>
      <c r="I2339" s="4"/>
      <c r="J2339" s="33">
        <f>SUM(AE2334:AE2338)</f>
        <v>-5517.13</v>
      </c>
      <c r="K2339" s="33"/>
      <c r="M2339"/>
      <c r="N2339"/>
      <c r="O2339"/>
      <c r="P2339"/>
      <c r="Q2339"/>
    </row>
    <row r="2340" spans="1:33" ht="14.25" x14ac:dyDescent="0.2">
      <c r="A2340" s="31"/>
      <c r="B2340" s="31"/>
      <c r="C2340" s="31" t="s">
        <v>38</v>
      </c>
      <c r="D2340" s="32" t="s">
        <v>39</v>
      </c>
      <c r="E2340" s="4">
        <f>108</f>
        <v>108</v>
      </c>
      <c r="F2340" s="33"/>
      <c r="G2340" s="34"/>
      <c r="H2340" s="4"/>
      <c r="I2340" s="4"/>
      <c r="J2340" s="33">
        <f>SUM(AG2334:AG2339)</f>
        <v>-95624.36</v>
      </c>
      <c r="K2340" s="33"/>
      <c r="M2340"/>
      <c r="N2340"/>
      <c r="O2340"/>
      <c r="P2340"/>
      <c r="Q2340"/>
    </row>
    <row r="2341" spans="1:33" ht="14.25" x14ac:dyDescent="0.2">
      <c r="A2341" s="31"/>
      <c r="B2341" s="31"/>
      <c r="C2341" s="31" t="s">
        <v>42</v>
      </c>
      <c r="D2341" s="32" t="s">
        <v>43</v>
      </c>
      <c r="E2341" s="4">
        <f>[1]Source!AQ2311</f>
        <v>0.03</v>
      </c>
      <c r="F2341" s="33"/>
      <c r="G2341" s="34" t="str">
        <f>[1]Source!DI2311</f>
        <v>)*2</v>
      </c>
      <c r="H2341" s="4">
        <f>[1]Source!AV2311</f>
        <v>1</v>
      </c>
      <c r="I2341" s="4"/>
      <c r="J2341" s="33"/>
      <c r="K2341" s="33">
        <f>[1]Source!U2311</f>
        <v>-222.465</v>
      </c>
      <c r="M2341"/>
      <c r="N2341"/>
      <c r="O2341"/>
      <c r="P2341"/>
      <c r="Q2341"/>
    </row>
    <row r="2342" spans="1:33" ht="15" x14ac:dyDescent="0.25">
      <c r="A2342" s="35"/>
      <c r="B2342" s="35"/>
      <c r="C2342" s="35"/>
      <c r="D2342" s="35"/>
      <c r="E2342" s="35"/>
      <c r="F2342" s="35"/>
      <c r="G2342" s="35"/>
      <c r="H2342" s="35"/>
      <c r="I2342" s="36">
        <f>J2335+J2336+J2338+J2339+J2340</f>
        <v>-378318.05</v>
      </c>
      <c r="J2342" s="36"/>
      <c r="K2342" s="37">
        <f>IF([1]Source!I2311&lt;&gt;0, ROUND(I2342/[1]Source!I2311, 2), 0)</f>
        <v>102.03</v>
      </c>
      <c r="M2342"/>
      <c r="N2342"/>
      <c r="O2342"/>
      <c r="P2342"/>
      <c r="Q2342"/>
      <c r="AA2342" s="38">
        <f>I2342</f>
        <v>-378318.05</v>
      </c>
    </row>
    <row r="2343" spans="1:33" ht="85.5" x14ac:dyDescent="0.2">
      <c r="A2343" s="31">
        <v>322</v>
      </c>
      <c r="B2343" s="31" t="str">
        <f>[1]Source!F2312</f>
        <v>5.3-1102-25-1/1</v>
      </c>
      <c r="C2343" s="31" t="str">
        <f>[1]Source!G2312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</c>
      <c r="D2343" s="32" t="str">
        <f>[1]Source!H2312</f>
        <v>м3</v>
      </c>
      <c r="E2343" s="4">
        <f>[1]Source!I2312</f>
        <v>3707.75</v>
      </c>
      <c r="F2343" s="33"/>
      <c r="G2343" s="34"/>
      <c r="H2343" s="4"/>
      <c r="I2343" s="4"/>
      <c r="J2343" s="33"/>
      <c r="K2343" s="33"/>
      <c r="M2343"/>
      <c r="N2343"/>
      <c r="O2343"/>
      <c r="P2343"/>
      <c r="Q2343"/>
      <c r="AB2343">
        <f>ROUND(([1]Source!BZ2312/100)*ROUND(([1]Source!AF2312*[1]Source!AV2312)*[1]Source!I2312, 2), 2)</f>
        <v>238078.34</v>
      </c>
      <c r="AC2343">
        <f>[1]Source!X2312</f>
        <v>238078.34</v>
      </c>
      <c r="AD2343">
        <f>ROUND(([1]Source!CA2312/100)*ROUND(([1]Source!AF2312*[1]Source!AV2312)*[1]Source!I2312, 2), 2)</f>
        <v>34011.19</v>
      </c>
      <c r="AE2343">
        <f>[1]Source!Y2312</f>
        <v>34011.19</v>
      </c>
      <c r="AF2343">
        <f>ROUND((175/100)*ROUND(([1]Source!AE2312*[1]Source!AV2312)*[1]Source!I2312, 2), 2)</f>
        <v>1197529.1000000001</v>
      </c>
      <c r="AG2343">
        <f>ROUND((108/100)*ROUND([1]Source!CS2312*[1]Source!I2312, 2), 2)</f>
        <v>739046.53</v>
      </c>
    </row>
    <row r="2344" spans="1:33" ht="14.25" x14ac:dyDescent="0.2">
      <c r="A2344" s="31"/>
      <c r="B2344" s="31"/>
      <c r="C2344" s="31" t="s">
        <v>34</v>
      </c>
      <c r="D2344" s="32"/>
      <c r="E2344" s="4"/>
      <c r="F2344" s="33">
        <f>[1]Source!AO2312</f>
        <v>91.73</v>
      </c>
      <c r="G2344" s="34" t="str">
        <f>[1]Source!DG2312</f>
        <v>)*1</v>
      </c>
      <c r="H2344" s="4">
        <f>[1]Source!AV2312</f>
        <v>1</v>
      </c>
      <c r="I2344" s="4">
        <f>IF([1]Source!BA2312&lt;&gt; 0, [1]Source!BA2312, 1)</f>
        <v>1</v>
      </c>
      <c r="J2344" s="33">
        <f>[1]Source!S2312</f>
        <v>340111.91</v>
      </c>
      <c r="K2344" s="33"/>
      <c r="M2344"/>
      <c r="N2344"/>
      <c r="O2344"/>
      <c r="P2344"/>
      <c r="Q2344"/>
    </row>
    <row r="2345" spans="1:33" ht="14.25" x14ac:dyDescent="0.2">
      <c r="A2345" s="31"/>
      <c r="B2345" s="31"/>
      <c r="C2345" s="31" t="s">
        <v>33</v>
      </c>
      <c r="D2345" s="32"/>
      <c r="E2345" s="4"/>
      <c r="F2345" s="33">
        <f>[1]Source!AM2312</f>
        <v>382.15</v>
      </c>
      <c r="G2345" s="34" t="str">
        <f>[1]Source!DE2312</f>
        <v>)*1</v>
      </c>
      <c r="H2345" s="4">
        <f>[1]Source!AV2312</f>
        <v>1</v>
      </c>
      <c r="I2345" s="4">
        <f>IF([1]Source!BB2312&lt;&gt; 0, [1]Source!BB2312, 1)</f>
        <v>1</v>
      </c>
      <c r="J2345" s="33">
        <f>[1]Source!Q2312</f>
        <v>1416916.66</v>
      </c>
      <c r="K2345" s="33"/>
      <c r="M2345"/>
      <c r="N2345"/>
      <c r="O2345"/>
      <c r="P2345"/>
      <c r="Q2345"/>
    </row>
    <row r="2346" spans="1:33" ht="14.25" x14ac:dyDescent="0.2">
      <c r="A2346" s="31"/>
      <c r="B2346" s="31"/>
      <c r="C2346" s="31" t="s">
        <v>37</v>
      </c>
      <c r="D2346" s="32"/>
      <c r="E2346" s="4"/>
      <c r="F2346" s="33">
        <f>[1]Source!AN2312</f>
        <v>184.56</v>
      </c>
      <c r="G2346" s="34" t="str">
        <f>[1]Source!DF2312</f>
        <v>)*1</v>
      </c>
      <c r="H2346" s="4">
        <f>[1]Source!AV2312</f>
        <v>1</v>
      </c>
      <c r="I2346" s="4">
        <f>IF([1]Source!BS2312&lt;&gt; 0, [1]Source!BS2312, 1)</f>
        <v>1</v>
      </c>
      <c r="J2346" s="41">
        <f>[1]Source!R2312</f>
        <v>684302.34</v>
      </c>
      <c r="K2346" s="33"/>
      <c r="M2346"/>
      <c r="N2346"/>
      <c r="O2346"/>
      <c r="P2346"/>
      <c r="Q2346"/>
    </row>
    <row r="2347" spans="1:33" ht="14.25" x14ac:dyDescent="0.2">
      <c r="A2347" s="31"/>
      <c r="B2347" s="31"/>
      <c r="C2347" s="31" t="s">
        <v>40</v>
      </c>
      <c r="D2347" s="32" t="s">
        <v>39</v>
      </c>
      <c r="E2347" s="4">
        <f>[1]Source!AT2312</f>
        <v>70</v>
      </c>
      <c r="F2347" s="33"/>
      <c r="G2347" s="34"/>
      <c r="H2347" s="4"/>
      <c r="I2347" s="4"/>
      <c r="J2347" s="33">
        <f>SUM(AC2343:AC2346)</f>
        <v>238078.34</v>
      </c>
      <c r="K2347" s="33"/>
      <c r="M2347"/>
      <c r="N2347"/>
      <c r="O2347"/>
      <c r="P2347"/>
      <c r="Q2347"/>
    </row>
    <row r="2348" spans="1:33" ht="14.25" x14ac:dyDescent="0.2">
      <c r="A2348" s="31"/>
      <c r="B2348" s="31"/>
      <c r="C2348" s="31" t="s">
        <v>41</v>
      </c>
      <c r="D2348" s="32" t="s">
        <v>39</v>
      </c>
      <c r="E2348" s="4">
        <f>[1]Source!AU2312</f>
        <v>10</v>
      </c>
      <c r="F2348" s="33"/>
      <c r="G2348" s="34"/>
      <c r="H2348" s="4"/>
      <c r="I2348" s="4"/>
      <c r="J2348" s="33">
        <f>SUM(AE2343:AE2347)</f>
        <v>34011.19</v>
      </c>
      <c r="K2348" s="33"/>
      <c r="M2348"/>
      <c r="N2348"/>
      <c r="O2348"/>
      <c r="P2348"/>
      <c r="Q2348"/>
    </row>
    <row r="2349" spans="1:33" ht="14.25" x14ac:dyDescent="0.2">
      <c r="A2349" s="31"/>
      <c r="B2349" s="31"/>
      <c r="C2349" s="31" t="s">
        <v>38</v>
      </c>
      <c r="D2349" s="32" t="s">
        <v>39</v>
      </c>
      <c r="E2349" s="4">
        <f>108</f>
        <v>108</v>
      </c>
      <c r="F2349" s="33"/>
      <c r="G2349" s="34"/>
      <c r="H2349" s="4"/>
      <c r="I2349" s="4"/>
      <c r="J2349" s="33">
        <f>SUM(AG2343:AG2348)</f>
        <v>739046.53</v>
      </c>
      <c r="K2349" s="33"/>
      <c r="M2349"/>
      <c r="N2349"/>
      <c r="O2349"/>
      <c r="P2349"/>
      <c r="Q2349"/>
    </row>
    <row r="2350" spans="1:33" ht="14.25" x14ac:dyDescent="0.2">
      <c r="A2350" s="31"/>
      <c r="B2350" s="31"/>
      <c r="C2350" s="31" t="s">
        <v>42</v>
      </c>
      <c r="D2350" s="32" t="s">
        <v>43</v>
      </c>
      <c r="E2350" s="4">
        <f>[1]Source!AQ2312</f>
        <v>0.37</v>
      </c>
      <c r="F2350" s="33"/>
      <c r="G2350" s="34" t="str">
        <f>[1]Source!DI2312</f>
        <v>)*1</v>
      </c>
      <c r="H2350" s="4">
        <f>[1]Source!AV2312</f>
        <v>1</v>
      </c>
      <c r="I2350" s="4"/>
      <c r="J2350" s="33"/>
      <c r="K2350" s="33">
        <f>[1]Source!U2312</f>
        <v>1371.8675000000001</v>
      </c>
      <c r="M2350"/>
      <c r="N2350"/>
      <c r="O2350"/>
      <c r="P2350"/>
      <c r="Q2350"/>
    </row>
    <row r="2351" spans="1:33" ht="15" x14ac:dyDescent="0.25">
      <c r="A2351" s="35"/>
      <c r="B2351" s="35"/>
      <c r="C2351" s="35"/>
      <c r="D2351" s="35"/>
      <c r="E2351" s="35"/>
      <c r="F2351" s="35"/>
      <c r="G2351" s="35"/>
      <c r="H2351" s="35"/>
      <c r="I2351" s="36">
        <f>J2344+J2345+J2347+J2348+J2349</f>
        <v>2768164.63</v>
      </c>
      <c r="J2351" s="36"/>
      <c r="K2351" s="37">
        <f>IF([1]Source!I2312&lt;&gt;0, ROUND(I2351/[1]Source!I2312, 2), 0)</f>
        <v>746.59</v>
      </c>
      <c r="M2351"/>
      <c r="N2351"/>
      <c r="O2351"/>
      <c r="P2351"/>
      <c r="Q2351"/>
      <c r="AA2351" s="38">
        <f>I2351</f>
        <v>2768164.63</v>
      </c>
    </row>
    <row r="2352" spans="1:33" ht="85.5" x14ac:dyDescent="0.2">
      <c r="A2352" s="31">
        <v>323</v>
      </c>
      <c r="B2352" s="31" t="str">
        <f>[1]Source!F2313</f>
        <v>5.3-1102-25-2/1</v>
      </c>
      <c r="C2352" s="31" t="str">
        <f>[1]Source!G2313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352" s="32" t="str">
        <f>[1]Source!H2313</f>
        <v>м3</v>
      </c>
      <c r="E2352" s="4">
        <f>[1]Source!I2313</f>
        <v>-3707.75</v>
      </c>
      <c r="F2352" s="33"/>
      <c r="G2352" s="34"/>
      <c r="H2352" s="4"/>
      <c r="I2352" s="4"/>
      <c r="J2352" s="33"/>
      <c r="K2352" s="33"/>
      <c r="M2352"/>
      <c r="N2352"/>
      <c r="O2352"/>
      <c r="P2352"/>
      <c r="Q2352"/>
      <c r="AB2352">
        <f>ROUND(([1]Source!BZ2313/100)*ROUND(([1]Source!AF2313*[1]Source!AV2313)*[1]Source!I2313, 2), 2)</f>
        <v>-19309.96</v>
      </c>
      <c r="AC2352">
        <f>[1]Source!X2313</f>
        <v>-19309.96</v>
      </c>
      <c r="AD2352">
        <f>ROUND(([1]Source!CA2313/100)*ROUND(([1]Source!AF2313*[1]Source!AV2313)*[1]Source!I2313, 2), 2)</f>
        <v>-2758.57</v>
      </c>
      <c r="AE2352">
        <f>[1]Source!Y2313</f>
        <v>-2758.57</v>
      </c>
      <c r="AF2352">
        <f>ROUND((175/100)*ROUND(([1]Source!AE2313*[1]Source!AV2313)*[1]Source!I2313, 2), 2)</f>
        <v>-77473.45</v>
      </c>
      <c r="AG2352">
        <f>ROUND((108/100)*ROUND([1]Source!CS2313*[1]Source!I2313, 2), 2)</f>
        <v>-47812.18</v>
      </c>
    </row>
    <row r="2353" spans="1:43" ht="14.25" x14ac:dyDescent="0.2">
      <c r="A2353" s="31"/>
      <c r="B2353" s="31"/>
      <c r="C2353" s="31" t="s">
        <v>34</v>
      </c>
      <c r="D2353" s="32"/>
      <c r="E2353" s="4"/>
      <c r="F2353" s="33">
        <f>[1]Source!AO2313</f>
        <v>7.44</v>
      </c>
      <c r="G2353" s="34" t="str">
        <f>[1]Source!DG2313</f>
        <v>)*1</v>
      </c>
      <c r="H2353" s="4">
        <f>[1]Source!AV2313</f>
        <v>1</v>
      </c>
      <c r="I2353" s="4">
        <f>IF([1]Source!BA2313&lt;&gt; 0, [1]Source!BA2313, 1)</f>
        <v>1</v>
      </c>
      <c r="J2353" s="33">
        <f>[1]Source!S2313</f>
        <v>-27585.66</v>
      </c>
      <c r="K2353" s="33"/>
      <c r="M2353"/>
      <c r="N2353"/>
      <c r="O2353"/>
      <c r="P2353"/>
      <c r="Q2353"/>
    </row>
    <row r="2354" spans="1:43" ht="14.25" x14ac:dyDescent="0.2">
      <c r="A2354" s="31"/>
      <c r="B2354" s="31"/>
      <c r="C2354" s="31" t="s">
        <v>33</v>
      </c>
      <c r="D2354" s="32"/>
      <c r="E2354" s="4"/>
      <c r="F2354" s="33">
        <f>[1]Source!AM2313</f>
        <v>24.73</v>
      </c>
      <c r="G2354" s="34" t="str">
        <f>[1]Source!DE2313</f>
        <v>)*1</v>
      </c>
      <c r="H2354" s="4">
        <f>[1]Source!AV2313</f>
        <v>1</v>
      </c>
      <c r="I2354" s="4">
        <f>IF([1]Source!BB2313&lt;&gt; 0, [1]Source!BB2313, 1)</f>
        <v>1</v>
      </c>
      <c r="J2354" s="33">
        <f>[1]Source!Q2313</f>
        <v>-91692.66</v>
      </c>
      <c r="K2354" s="33"/>
      <c r="M2354"/>
      <c r="N2354"/>
      <c r="O2354"/>
      <c r="P2354"/>
      <c r="Q2354"/>
    </row>
    <row r="2355" spans="1:43" ht="14.25" x14ac:dyDescent="0.2">
      <c r="A2355" s="31"/>
      <c r="B2355" s="31"/>
      <c r="C2355" s="31" t="s">
        <v>37</v>
      </c>
      <c r="D2355" s="32"/>
      <c r="E2355" s="4"/>
      <c r="F2355" s="33">
        <f>[1]Source!AN2313</f>
        <v>11.94</v>
      </c>
      <c r="G2355" s="34" t="str">
        <f>[1]Source!DF2313</f>
        <v>)*1</v>
      </c>
      <c r="H2355" s="4">
        <f>[1]Source!AV2313</f>
        <v>1</v>
      </c>
      <c r="I2355" s="4">
        <f>IF([1]Source!BS2313&lt;&gt; 0, [1]Source!BS2313, 1)</f>
        <v>1</v>
      </c>
      <c r="J2355" s="41">
        <f>[1]Source!R2313</f>
        <v>-44270.54</v>
      </c>
      <c r="K2355" s="33"/>
      <c r="M2355"/>
      <c r="N2355"/>
      <c r="O2355"/>
      <c r="P2355"/>
      <c r="Q2355"/>
    </row>
    <row r="2356" spans="1:43" ht="14.25" x14ac:dyDescent="0.2">
      <c r="A2356" s="31"/>
      <c r="B2356" s="31"/>
      <c r="C2356" s="31" t="s">
        <v>40</v>
      </c>
      <c r="D2356" s="32" t="s">
        <v>39</v>
      </c>
      <c r="E2356" s="4">
        <f>[1]Source!AT2313</f>
        <v>70</v>
      </c>
      <c r="F2356" s="33"/>
      <c r="G2356" s="34"/>
      <c r="H2356" s="4"/>
      <c r="I2356" s="4"/>
      <c r="J2356" s="33">
        <f>SUM(AC2352:AC2355)</f>
        <v>-19309.96</v>
      </c>
      <c r="K2356" s="33"/>
      <c r="M2356"/>
      <c r="N2356"/>
      <c r="O2356"/>
      <c r="P2356"/>
      <c r="Q2356"/>
    </row>
    <row r="2357" spans="1:43" ht="14.25" x14ac:dyDescent="0.2">
      <c r="A2357" s="31"/>
      <c r="B2357" s="31"/>
      <c r="C2357" s="31" t="s">
        <v>41</v>
      </c>
      <c r="D2357" s="32" t="s">
        <v>39</v>
      </c>
      <c r="E2357" s="4">
        <f>[1]Source!AU2313</f>
        <v>10</v>
      </c>
      <c r="F2357" s="33"/>
      <c r="G2357" s="34"/>
      <c r="H2357" s="4"/>
      <c r="I2357" s="4"/>
      <c r="J2357" s="33">
        <f>SUM(AE2352:AE2356)</f>
        <v>-2758.57</v>
      </c>
      <c r="K2357" s="33"/>
      <c r="M2357"/>
      <c r="N2357"/>
      <c r="O2357"/>
      <c r="P2357"/>
      <c r="Q2357"/>
    </row>
    <row r="2358" spans="1:43" ht="14.25" x14ac:dyDescent="0.2">
      <c r="A2358" s="31"/>
      <c r="B2358" s="31"/>
      <c r="C2358" s="31" t="s">
        <v>38</v>
      </c>
      <c r="D2358" s="32" t="s">
        <v>39</v>
      </c>
      <c r="E2358" s="4">
        <f>108</f>
        <v>108</v>
      </c>
      <c r="F2358" s="33"/>
      <c r="G2358" s="34"/>
      <c r="H2358" s="4"/>
      <c r="I2358" s="4"/>
      <c r="J2358" s="33">
        <f>SUM(AG2352:AG2357)</f>
        <v>-47812.18</v>
      </c>
      <c r="K2358" s="33"/>
      <c r="M2358"/>
      <c r="N2358"/>
      <c r="O2358"/>
      <c r="P2358"/>
      <c r="Q2358"/>
    </row>
    <row r="2359" spans="1:43" ht="14.25" x14ac:dyDescent="0.2">
      <c r="A2359" s="31"/>
      <c r="B2359" s="31"/>
      <c r="C2359" s="31" t="s">
        <v>42</v>
      </c>
      <c r="D2359" s="32" t="s">
        <v>43</v>
      </c>
      <c r="E2359" s="4">
        <f>[1]Source!AQ2313</f>
        <v>0.03</v>
      </c>
      <c r="F2359" s="33"/>
      <c r="G2359" s="34" t="str">
        <f>[1]Source!DI2313</f>
        <v>)*1</v>
      </c>
      <c r="H2359" s="4">
        <f>[1]Source!AV2313</f>
        <v>1</v>
      </c>
      <c r="I2359" s="4"/>
      <c r="J2359" s="33"/>
      <c r="K2359" s="33">
        <f>[1]Source!U2313</f>
        <v>-111.2325</v>
      </c>
      <c r="M2359"/>
      <c r="N2359"/>
      <c r="O2359"/>
      <c r="P2359"/>
      <c r="Q2359"/>
    </row>
    <row r="2360" spans="1:43" ht="15" x14ac:dyDescent="0.25">
      <c r="A2360" s="35"/>
      <c r="B2360" s="35"/>
      <c r="C2360" s="35"/>
      <c r="D2360" s="35"/>
      <c r="E2360" s="35"/>
      <c r="F2360" s="35"/>
      <c r="G2360" s="35"/>
      <c r="H2360" s="35"/>
      <c r="I2360" s="36">
        <f>J2353+J2354+J2356+J2357+J2358</f>
        <v>-189159.03</v>
      </c>
      <c r="J2360" s="36"/>
      <c r="K2360" s="37">
        <f>IF([1]Source!I2313&lt;&gt;0, ROUND(I2360/[1]Source!I2313, 2), 0)</f>
        <v>51.02</v>
      </c>
      <c r="M2360"/>
      <c r="N2360"/>
      <c r="O2360"/>
      <c r="P2360"/>
      <c r="Q2360"/>
      <c r="AA2360" s="38">
        <f>I2360</f>
        <v>-189159.03</v>
      </c>
    </row>
    <row r="2361" spans="1:43" x14ac:dyDescent="0.2">
      <c r="M2361"/>
      <c r="N2361"/>
      <c r="O2361"/>
      <c r="P2361"/>
      <c r="Q2361"/>
    </row>
    <row r="2362" spans="1:43" ht="15" x14ac:dyDescent="0.25">
      <c r="A2362" s="42" t="str">
        <f>CONCATENATE("Итого по разделу: ",IF([1]Source!G2315&lt;&gt;"Новый раздел", [1]Source!G2315, ""))</f>
        <v>Итого по разделу: Сбор и перемещение снега и скола к месту временного размещения( 2024г.)</v>
      </c>
      <c r="B2362" s="42"/>
      <c r="C2362" s="42"/>
      <c r="D2362" s="42"/>
      <c r="E2362" s="42"/>
      <c r="F2362" s="42"/>
      <c r="G2362" s="42"/>
      <c r="H2362" s="42"/>
      <c r="I2362" s="43">
        <f>SUM(AA2288:AA2361)</f>
        <v>9181068.2700000014</v>
      </c>
      <c r="J2362" s="44"/>
      <c r="K2362" s="47"/>
      <c r="L2362" s="38">
        <f>I2362</f>
        <v>9181068.2700000014</v>
      </c>
      <c r="M2362" s="2">
        <f>ROUND(I2362*$I$4874,2)</f>
        <v>6630630.3700000001</v>
      </c>
      <c r="N2362" s="2">
        <f>ROUND(M2362*1.2/105*100,2)</f>
        <v>7577863.2800000003</v>
      </c>
      <c r="O2362" s="2">
        <f>ROUND(N2362*0.05,2)</f>
        <v>378893.16</v>
      </c>
      <c r="P2362" s="2">
        <f>N2362+O2362</f>
        <v>7956756.4400000004</v>
      </c>
      <c r="Q2362" s="3">
        <v>68</v>
      </c>
      <c r="R2362">
        <v>2</v>
      </c>
      <c r="S2362" s="2">
        <v>4642610.21</v>
      </c>
      <c r="AQ2362" s="46" t="str">
        <f>CONCATENATE("Итого по разделу: ",IF([1]Source!G2315&lt;&gt;"Новый раздел", [1]Source!G2315, ""))</f>
        <v>Итого по разделу: Сбор и перемещение снега и скола к месту временного размещения( 2024г.)</v>
      </c>
    </row>
    <row r="2363" spans="1:43" x14ac:dyDescent="0.2">
      <c r="M2363"/>
      <c r="N2363"/>
      <c r="O2363"/>
      <c r="P2363"/>
      <c r="Q2363"/>
    </row>
    <row r="2364" spans="1:43" x14ac:dyDescent="0.2">
      <c r="M2364"/>
      <c r="N2364"/>
      <c r="O2364"/>
      <c r="P2364"/>
      <c r="Q2364"/>
    </row>
    <row r="2365" spans="1:43" ht="16.5" x14ac:dyDescent="0.25">
      <c r="A2365" s="29" t="str">
        <f>CONCATENATE("Раздел: ",IF([1]Source!G2345&lt;&gt;"Новый раздел", [1]Source!G2345, ""))</f>
        <v>Раздел: Сбор и перемещение снега и скола к месту временного размещения( 2025г.)</v>
      </c>
      <c r="B2365" s="29"/>
      <c r="C2365" s="29"/>
      <c r="D2365" s="29"/>
      <c r="E2365" s="29"/>
      <c r="F2365" s="29"/>
      <c r="G2365" s="29"/>
      <c r="H2365" s="29"/>
      <c r="I2365" s="29"/>
      <c r="J2365" s="29"/>
      <c r="K2365" s="29"/>
      <c r="M2365"/>
      <c r="N2365"/>
      <c r="O2365"/>
      <c r="P2365"/>
      <c r="Q2365"/>
    </row>
    <row r="2366" spans="1:43" ht="85.5" x14ac:dyDescent="0.2">
      <c r="A2366" s="31">
        <v>324</v>
      </c>
      <c r="B2366" s="31" t="str">
        <f>[1]Source!F2349</f>
        <v>5.3-1102-25-1/1</v>
      </c>
      <c r="C2366" s="31" t="str">
        <f>[1]Source!G2349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</c>
      <c r="D2366" s="32" t="str">
        <f>[1]Source!H2349</f>
        <v>м3</v>
      </c>
      <c r="E2366" s="4">
        <f>[1]Source!I2349</f>
        <v>7638</v>
      </c>
      <c r="F2366" s="33"/>
      <c r="G2366" s="34"/>
      <c r="H2366" s="4"/>
      <c r="I2366" s="4"/>
      <c r="J2366" s="33"/>
      <c r="K2366" s="33"/>
      <c r="M2366"/>
      <c r="N2366"/>
      <c r="O2366"/>
      <c r="P2366"/>
      <c r="Q2366"/>
      <c r="AB2366">
        <f>ROUND(([1]Source!BZ2349/100)*ROUND(([1]Source!AF2349*[1]Source!AV2349)*[1]Source!I2349, 2), 2)</f>
        <v>490443.62</v>
      </c>
      <c r="AC2366">
        <f>[1]Source!X2349</f>
        <v>490443.62</v>
      </c>
      <c r="AD2366">
        <f>ROUND(([1]Source!CA2349/100)*ROUND(([1]Source!AF2349*[1]Source!AV2349)*[1]Source!I2349, 2), 2)</f>
        <v>70063.37</v>
      </c>
      <c r="AE2366">
        <f>[1]Source!Y2349</f>
        <v>70063.37</v>
      </c>
      <c r="AF2366">
        <f>ROUND((175/100)*ROUND(([1]Source!AE2349*[1]Source!AV2349)*[1]Source!I2349, 2), 2)</f>
        <v>2466921.2400000002</v>
      </c>
      <c r="AG2366">
        <f>ROUND((108/100)*ROUND([1]Source!CS2349*[1]Source!I2349, 2), 2)</f>
        <v>1522442.82</v>
      </c>
    </row>
    <row r="2367" spans="1:43" ht="14.25" x14ac:dyDescent="0.2">
      <c r="A2367" s="31"/>
      <c r="B2367" s="31"/>
      <c r="C2367" s="31" t="s">
        <v>34</v>
      </c>
      <c r="D2367" s="32"/>
      <c r="E2367" s="4"/>
      <c r="F2367" s="33">
        <f>[1]Source!AO2349</f>
        <v>91.73</v>
      </c>
      <c r="G2367" s="34" t="str">
        <f>[1]Source!DG2349</f>
        <v>)*1</v>
      </c>
      <c r="H2367" s="4">
        <f>[1]Source!AV2349</f>
        <v>1</v>
      </c>
      <c r="I2367" s="4">
        <f>IF([1]Source!BA2349&lt;&gt; 0, [1]Source!BA2349, 1)</f>
        <v>1</v>
      </c>
      <c r="J2367" s="33">
        <f>[1]Source!S2349</f>
        <v>700633.74</v>
      </c>
      <c r="K2367" s="33"/>
      <c r="M2367"/>
      <c r="N2367"/>
      <c r="O2367"/>
      <c r="P2367"/>
      <c r="Q2367"/>
    </row>
    <row r="2368" spans="1:43" ht="14.25" x14ac:dyDescent="0.2">
      <c r="A2368" s="31"/>
      <c r="B2368" s="31"/>
      <c r="C2368" s="31" t="s">
        <v>33</v>
      </c>
      <c r="D2368" s="32"/>
      <c r="E2368" s="4"/>
      <c r="F2368" s="33">
        <f>[1]Source!AM2349</f>
        <v>382.15</v>
      </c>
      <c r="G2368" s="34" t="str">
        <f>[1]Source!DE2349</f>
        <v>)*1</v>
      </c>
      <c r="H2368" s="4">
        <f>[1]Source!AV2349</f>
        <v>1</v>
      </c>
      <c r="I2368" s="4">
        <f>IF([1]Source!BB2349&lt;&gt; 0, [1]Source!BB2349, 1)</f>
        <v>1</v>
      </c>
      <c r="J2368" s="33">
        <f>[1]Source!Q2349</f>
        <v>2918861.7</v>
      </c>
      <c r="K2368" s="33"/>
      <c r="M2368"/>
      <c r="N2368"/>
      <c r="O2368"/>
      <c r="P2368"/>
      <c r="Q2368"/>
    </row>
    <row r="2369" spans="1:33" ht="14.25" x14ac:dyDescent="0.2">
      <c r="A2369" s="31"/>
      <c r="B2369" s="31"/>
      <c r="C2369" s="31" t="s">
        <v>37</v>
      </c>
      <c r="D2369" s="32"/>
      <c r="E2369" s="4"/>
      <c r="F2369" s="33">
        <f>[1]Source!AN2349</f>
        <v>184.56</v>
      </c>
      <c r="G2369" s="34" t="str">
        <f>[1]Source!DF2349</f>
        <v>)*1</v>
      </c>
      <c r="H2369" s="4">
        <f>[1]Source!AV2349</f>
        <v>1</v>
      </c>
      <c r="I2369" s="4">
        <f>IF([1]Source!BS2349&lt;&gt; 0, [1]Source!BS2349, 1)</f>
        <v>1</v>
      </c>
      <c r="J2369" s="41">
        <f>[1]Source!R2349</f>
        <v>1409669.28</v>
      </c>
      <c r="K2369" s="33"/>
      <c r="M2369"/>
      <c r="N2369"/>
      <c r="O2369"/>
      <c r="P2369"/>
      <c r="Q2369"/>
    </row>
    <row r="2370" spans="1:33" ht="14.25" x14ac:dyDescent="0.2">
      <c r="A2370" s="31"/>
      <c r="B2370" s="31"/>
      <c r="C2370" s="31" t="s">
        <v>40</v>
      </c>
      <c r="D2370" s="32" t="s">
        <v>39</v>
      </c>
      <c r="E2370" s="4">
        <f>[1]Source!AT2349</f>
        <v>70</v>
      </c>
      <c r="F2370" s="33"/>
      <c r="G2370" s="34"/>
      <c r="H2370" s="4"/>
      <c r="I2370" s="4"/>
      <c r="J2370" s="33">
        <f>SUM(AC2366:AC2369)</f>
        <v>490443.62</v>
      </c>
      <c r="K2370" s="33"/>
      <c r="M2370"/>
      <c r="N2370"/>
      <c r="O2370"/>
      <c r="P2370"/>
      <c r="Q2370"/>
    </row>
    <row r="2371" spans="1:33" ht="14.25" x14ac:dyDescent="0.2">
      <c r="A2371" s="31"/>
      <c r="B2371" s="31"/>
      <c r="C2371" s="31" t="s">
        <v>41</v>
      </c>
      <c r="D2371" s="32" t="s">
        <v>39</v>
      </c>
      <c r="E2371" s="4">
        <f>[1]Source!AU2349</f>
        <v>10</v>
      </c>
      <c r="F2371" s="33"/>
      <c r="G2371" s="34"/>
      <c r="H2371" s="4"/>
      <c r="I2371" s="4"/>
      <c r="J2371" s="33">
        <f>SUM(AE2366:AE2370)</f>
        <v>70063.37</v>
      </c>
      <c r="K2371" s="33"/>
      <c r="M2371"/>
      <c r="N2371"/>
      <c r="O2371"/>
      <c r="P2371"/>
      <c r="Q2371"/>
    </row>
    <row r="2372" spans="1:33" ht="14.25" x14ac:dyDescent="0.2">
      <c r="A2372" s="31"/>
      <c r="B2372" s="31"/>
      <c r="C2372" s="31" t="s">
        <v>38</v>
      </c>
      <c r="D2372" s="32" t="s">
        <v>39</v>
      </c>
      <c r="E2372" s="4">
        <f>108</f>
        <v>108</v>
      </c>
      <c r="F2372" s="33"/>
      <c r="G2372" s="34"/>
      <c r="H2372" s="4"/>
      <c r="I2372" s="4"/>
      <c r="J2372" s="33">
        <f>SUM(AG2366:AG2371)</f>
        <v>1522442.82</v>
      </c>
      <c r="K2372" s="33"/>
      <c r="M2372"/>
      <c r="N2372"/>
      <c r="O2372"/>
      <c r="P2372"/>
      <c r="Q2372"/>
    </row>
    <row r="2373" spans="1:33" ht="14.25" x14ac:dyDescent="0.2">
      <c r="A2373" s="31"/>
      <c r="B2373" s="31"/>
      <c r="C2373" s="31" t="s">
        <v>42</v>
      </c>
      <c r="D2373" s="32" t="s">
        <v>43</v>
      </c>
      <c r="E2373" s="4">
        <f>[1]Source!AQ2349</f>
        <v>0.37</v>
      </c>
      <c r="F2373" s="33"/>
      <c r="G2373" s="34" t="str">
        <f>[1]Source!DI2349</f>
        <v>)*1</v>
      </c>
      <c r="H2373" s="4">
        <f>[1]Source!AV2349</f>
        <v>1</v>
      </c>
      <c r="I2373" s="4"/>
      <c r="J2373" s="33"/>
      <c r="K2373" s="33">
        <f>[1]Source!U2349</f>
        <v>2826.06</v>
      </c>
      <c r="M2373"/>
      <c r="N2373"/>
      <c r="O2373"/>
      <c r="P2373"/>
      <c r="Q2373"/>
    </row>
    <row r="2374" spans="1:33" ht="15" x14ac:dyDescent="0.25">
      <c r="A2374" s="35"/>
      <c r="B2374" s="35"/>
      <c r="C2374" s="35"/>
      <c r="D2374" s="35"/>
      <c r="E2374" s="35"/>
      <c r="F2374" s="35"/>
      <c r="G2374" s="35"/>
      <c r="H2374" s="35"/>
      <c r="I2374" s="36">
        <f>J2367+J2368+J2370+J2371+J2372</f>
        <v>5702445.2500000009</v>
      </c>
      <c r="J2374" s="36"/>
      <c r="K2374" s="37">
        <f>IF([1]Source!I2349&lt;&gt;0, ROUND(I2374/[1]Source!I2349, 2), 0)</f>
        <v>746.59</v>
      </c>
      <c r="M2374"/>
      <c r="N2374"/>
      <c r="O2374"/>
      <c r="P2374"/>
      <c r="Q2374"/>
      <c r="AA2374" s="38">
        <f>I2374</f>
        <v>5702445.2500000009</v>
      </c>
    </row>
    <row r="2375" spans="1:33" ht="85.5" x14ac:dyDescent="0.2">
      <c r="A2375" s="31">
        <v>325</v>
      </c>
      <c r="B2375" s="31" t="str">
        <f>[1]Source!F2350</f>
        <v>5.3-1102-25-2/1</v>
      </c>
      <c r="C2375" s="31" t="str">
        <f>[1]Source!G2350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375" s="32" t="str">
        <f>[1]Source!H2350</f>
        <v>м3</v>
      </c>
      <c r="E2375" s="4">
        <f>[1]Source!I2350</f>
        <v>-7638</v>
      </c>
      <c r="F2375" s="33"/>
      <c r="G2375" s="34"/>
      <c r="H2375" s="4"/>
      <c r="I2375" s="4"/>
      <c r="J2375" s="33"/>
      <c r="K2375" s="33"/>
      <c r="M2375"/>
      <c r="N2375"/>
      <c r="O2375"/>
      <c r="P2375"/>
      <c r="Q2375"/>
      <c r="AB2375">
        <f>ROUND(([1]Source!BZ2350/100)*ROUND(([1]Source!AF2350*[1]Source!AV2350)*[1]Source!I2350, 2), 2)</f>
        <v>-159114.82</v>
      </c>
      <c r="AC2375">
        <f>[1]Source!X2350</f>
        <v>-159114.82</v>
      </c>
      <c r="AD2375">
        <f>ROUND(([1]Source!CA2350/100)*ROUND(([1]Source!AF2350*[1]Source!AV2350)*[1]Source!I2350, 2), 2)</f>
        <v>-22730.69</v>
      </c>
      <c r="AE2375">
        <f>[1]Source!Y2350</f>
        <v>-22730.69</v>
      </c>
      <c r="AF2375">
        <f>ROUND((175/100)*ROUND(([1]Source!AE2350*[1]Source!AV2350)*[1]Source!I2350, 2), 2)</f>
        <v>-638384.04</v>
      </c>
      <c r="AG2375">
        <f>ROUND((108/100)*ROUND([1]Source!CS2350*[1]Source!I2350, 2), 2)</f>
        <v>-393974.15</v>
      </c>
    </row>
    <row r="2376" spans="1:33" ht="14.25" x14ac:dyDescent="0.2">
      <c r="A2376" s="31"/>
      <c r="B2376" s="31"/>
      <c r="C2376" s="31" t="s">
        <v>34</v>
      </c>
      <c r="D2376" s="32"/>
      <c r="E2376" s="4"/>
      <c r="F2376" s="33">
        <f>[1]Source!AO2350</f>
        <v>7.44</v>
      </c>
      <c r="G2376" s="34" t="str">
        <f>[1]Source!DG2350</f>
        <v>)*4</v>
      </c>
      <c r="H2376" s="4">
        <f>[1]Source!AV2350</f>
        <v>1</v>
      </c>
      <c r="I2376" s="4">
        <f>IF([1]Source!BA2350&lt;&gt; 0, [1]Source!BA2350, 1)</f>
        <v>1</v>
      </c>
      <c r="J2376" s="33">
        <f>[1]Source!S2350</f>
        <v>-227306.88</v>
      </c>
      <c r="K2376" s="33"/>
      <c r="M2376"/>
      <c r="N2376"/>
      <c r="O2376"/>
      <c r="P2376"/>
      <c r="Q2376"/>
    </row>
    <row r="2377" spans="1:33" ht="14.25" x14ac:dyDescent="0.2">
      <c r="A2377" s="31"/>
      <c r="B2377" s="31"/>
      <c r="C2377" s="31" t="s">
        <v>33</v>
      </c>
      <c r="D2377" s="32"/>
      <c r="E2377" s="4"/>
      <c r="F2377" s="33">
        <f>[1]Source!AM2350</f>
        <v>24.73</v>
      </c>
      <c r="G2377" s="34" t="str">
        <f>[1]Source!DE2350</f>
        <v>)*4</v>
      </c>
      <c r="H2377" s="4">
        <f>[1]Source!AV2350</f>
        <v>1</v>
      </c>
      <c r="I2377" s="4">
        <f>IF([1]Source!BB2350&lt;&gt; 0, [1]Source!BB2350, 1)</f>
        <v>1</v>
      </c>
      <c r="J2377" s="33">
        <f>[1]Source!Q2350</f>
        <v>-755550.96</v>
      </c>
      <c r="K2377" s="33"/>
      <c r="M2377"/>
      <c r="N2377"/>
      <c r="O2377"/>
      <c r="P2377"/>
      <c r="Q2377"/>
    </row>
    <row r="2378" spans="1:33" ht="14.25" x14ac:dyDescent="0.2">
      <c r="A2378" s="31"/>
      <c r="B2378" s="31"/>
      <c r="C2378" s="31" t="s">
        <v>37</v>
      </c>
      <c r="D2378" s="32"/>
      <c r="E2378" s="4"/>
      <c r="F2378" s="33">
        <f>[1]Source!AN2350</f>
        <v>11.94</v>
      </c>
      <c r="G2378" s="34" t="str">
        <f>[1]Source!DF2350</f>
        <v>)*4</v>
      </c>
      <c r="H2378" s="4">
        <f>[1]Source!AV2350</f>
        <v>1</v>
      </c>
      <c r="I2378" s="4">
        <f>IF([1]Source!BS2350&lt;&gt; 0, [1]Source!BS2350, 1)</f>
        <v>1</v>
      </c>
      <c r="J2378" s="41">
        <f>[1]Source!R2350</f>
        <v>-364790.88</v>
      </c>
      <c r="K2378" s="33"/>
      <c r="M2378"/>
      <c r="N2378"/>
      <c r="O2378"/>
      <c r="P2378"/>
      <c r="Q2378"/>
    </row>
    <row r="2379" spans="1:33" ht="14.25" x14ac:dyDescent="0.2">
      <c r="A2379" s="31"/>
      <c r="B2379" s="31"/>
      <c r="C2379" s="31" t="s">
        <v>40</v>
      </c>
      <c r="D2379" s="32" t="s">
        <v>39</v>
      </c>
      <c r="E2379" s="4">
        <f>[1]Source!AT2350</f>
        <v>70</v>
      </c>
      <c r="F2379" s="33"/>
      <c r="G2379" s="34"/>
      <c r="H2379" s="4"/>
      <c r="I2379" s="4"/>
      <c r="J2379" s="33">
        <f>SUM(AC2375:AC2378)</f>
        <v>-159114.82</v>
      </c>
      <c r="K2379" s="33"/>
      <c r="M2379"/>
      <c r="N2379"/>
      <c r="O2379"/>
      <c r="P2379"/>
      <c r="Q2379"/>
    </row>
    <row r="2380" spans="1:33" ht="14.25" x14ac:dyDescent="0.2">
      <c r="A2380" s="31"/>
      <c r="B2380" s="31"/>
      <c r="C2380" s="31" t="s">
        <v>41</v>
      </c>
      <c r="D2380" s="32" t="s">
        <v>39</v>
      </c>
      <c r="E2380" s="4">
        <f>[1]Source!AU2350</f>
        <v>10</v>
      </c>
      <c r="F2380" s="33"/>
      <c r="G2380" s="34"/>
      <c r="H2380" s="4"/>
      <c r="I2380" s="4"/>
      <c r="J2380" s="33">
        <f>SUM(AE2375:AE2379)</f>
        <v>-22730.69</v>
      </c>
      <c r="K2380" s="33"/>
      <c r="M2380"/>
      <c r="N2380"/>
      <c r="O2380"/>
      <c r="P2380"/>
      <c r="Q2380"/>
    </row>
    <row r="2381" spans="1:33" ht="14.25" x14ac:dyDescent="0.2">
      <c r="A2381" s="31"/>
      <c r="B2381" s="31"/>
      <c r="C2381" s="31" t="s">
        <v>38</v>
      </c>
      <c r="D2381" s="32" t="s">
        <v>39</v>
      </c>
      <c r="E2381" s="4">
        <f>108</f>
        <v>108</v>
      </c>
      <c r="F2381" s="33"/>
      <c r="G2381" s="34"/>
      <c r="H2381" s="4"/>
      <c r="I2381" s="4"/>
      <c r="J2381" s="33">
        <f>SUM(AG2375:AG2380)</f>
        <v>-393974.15</v>
      </c>
      <c r="K2381" s="33"/>
      <c r="M2381"/>
      <c r="N2381"/>
      <c r="O2381"/>
      <c r="P2381"/>
      <c r="Q2381"/>
    </row>
    <row r="2382" spans="1:33" ht="14.25" x14ac:dyDescent="0.2">
      <c r="A2382" s="31"/>
      <c r="B2382" s="31"/>
      <c r="C2382" s="31" t="s">
        <v>42</v>
      </c>
      <c r="D2382" s="32" t="s">
        <v>43</v>
      </c>
      <c r="E2382" s="4">
        <f>[1]Source!AQ2350</f>
        <v>0.03</v>
      </c>
      <c r="F2382" s="33"/>
      <c r="G2382" s="34" t="str">
        <f>[1]Source!DI2350</f>
        <v>)*4</v>
      </c>
      <c r="H2382" s="4">
        <f>[1]Source!AV2350</f>
        <v>1</v>
      </c>
      <c r="I2382" s="4"/>
      <c r="J2382" s="33"/>
      <c r="K2382" s="33">
        <f>[1]Source!U2350</f>
        <v>-916.56</v>
      </c>
      <c r="M2382"/>
      <c r="N2382"/>
      <c r="O2382"/>
      <c r="P2382"/>
      <c r="Q2382"/>
    </row>
    <row r="2383" spans="1:33" ht="15" x14ac:dyDescent="0.25">
      <c r="A2383" s="35"/>
      <c r="B2383" s="35"/>
      <c r="C2383" s="35"/>
      <c r="D2383" s="35"/>
      <c r="E2383" s="35"/>
      <c r="F2383" s="35"/>
      <c r="G2383" s="35"/>
      <c r="H2383" s="35"/>
      <c r="I2383" s="36">
        <f>J2376+J2377+J2379+J2380+J2381</f>
        <v>-1558677.5</v>
      </c>
      <c r="J2383" s="36"/>
      <c r="K2383" s="37">
        <f>IF([1]Source!I2350&lt;&gt;0, ROUND(I2383/[1]Source!I2350, 2), 0)</f>
        <v>204.07</v>
      </c>
      <c r="M2383"/>
      <c r="N2383"/>
      <c r="O2383"/>
      <c r="P2383"/>
      <c r="Q2383"/>
      <c r="AA2383" s="38">
        <f>I2383</f>
        <v>-1558677.5</v>
      </c>
    </row>
    <row r="2384" spans="1:33" ht="85.5" x14ac:dyDescent="0.2">
      <c r="A2384" s="31">
        <v>326</v>
      </c>
      <c r="B2384" s="31" t="str">
        <f>[1]Source!F2351</f>
        <v>5.3-1102-25-1/1</v>
      </c>
      <c r="C2384" s="31" t="str">
        <f>[1]Source!G2351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</c>
      <c r="D2384" s="32" t="str">
        <f>[1]Source!H2351</f>
        <v>м3</v>
      </c>
      <c r="E2384" s="4">
        <f>[1]Source!I2351</f>
        <v>7638</v>
      </c>
      <c r="F2384" s="33"/>
      <c r="G2384" s="34"/>
      <c r="H2384" s="4"/>
      <c r="I2384" s="4"/>
      <c r="J2384" s="33"/>
      <c r="K2384" s="33"/>
      <c r="M2384"/>
      <c r="N2384"/>
      <c r="O2384"/>
      <c r="P2384"/>
      <c r="Q2384"/>
      <c r="AB2384">
        <f>ROUND(([1]Source!BZ2351/100)*ROUND(([1]Source!AF2351*[1]Source!AV2351)*[1]Source!I2351, 2), 2)</f>
        <v>490443.62</v>
      </c>
      <c r="AC2384">
        <f>[1]Source!X2351</f>
        <v>490443.62</v>
      </c>
      <c r="AD2384">
        <f>ROUND(([1]Source!CA2351/100)*ROUND(([1]Source!AF2351*[1]Source!AV2351)*[1]Source!I2351, 2), 2)</f>
        <v>70063.37</v>
      </c>
      <c r="AE2384">
        <f>[1]Source!Y2351</f>
        <v>70063.37</v>
      </c>
      <c r="AF2384">
        <f>ROUND((175/100)*ROUND(([1]Source!AE2351*[1]Source!AV2351)*[1]Source!I2351, 2), 2)</f>
        <v>2466921.2400000002</v>
      </c>
      <c r="AG2384">
        <f>ROUND((108/100)*ROUND([1]Source!CS2351*[1]Source!I2351, 2), 2)</f>
        <v>1522442.82</v>
      </c>
    </row>
    <row r="2385" spans="1:33" ht="14.25" x14ac:dyDescent="0.2">
      <c r="A2385" s="31"/>
      <c r="B2385" s="31"/>
      <c r="C2385" s="31" t="s">
        <v>34</v>
      </c>
      <c r="D2385" s="32"/>
      <c r="E2385" s="4"/>
      <c r="F2385" s="33">
        <f>[1]Source!AO2351</f>
        <v>91.73</v>
      </c>
      <c r="G2385" s="34" t="str">
        <f>[1]Source!DG2351</f>
        <v>)*1</v>
      </c>
      <c r="H2385" s="4">
        <f>[1]Source!AV2351</f>
        <v>1</v>
      </c>
      <c r="I2385" s="4">
        <f>IF([1]Source!BA2351&lt;&gt; 0, [1]Source!BA2351, 1)</f>
        <v>1</v>
      </c>
      <c r="J2385" s="33">
        <f>[1]Source!S2351</f>
        <v>700633.74</v>
      </c>
      <c r="K2385" s="33"/>
      <c r="M2385"/>
      <c r="N2385"/>
      <c r="O2385"/>
      <c r="P2385"/>
      <c r="Q2385"/>
    </row>
    <row r="2386" spans="1:33" ht="14.25" x14ac:dyDescent="0.2">
      <c r="A2386" s="31"/>
      <c r="B2386" s="31"/>
      <c r="C2386" s="31" t="s">
        <v>33</v>
      </c>
      <c r="D2386" s="32"/>
      <c r="E2386" s="4"/>
      <c r="F2386" s="33">
        <f>[1]Source!AM2351</f>
        <v>382.15</v>
      </c>
      <c r="G2386" s="34" t="str">
        <f>[1]Source!DE2351</f>
        <v>)*1</v>
      </c>
      <c r="H2386" s="4">
        <f>[1]Source!AV2351</f>
        <v>1</v>
      </c>
      <c r="I2386" s="4">
        <f>IF([1]Source!BB2351&lt;&gt; 0, [1]Source!BB2351, 1)</f>
        <v>1</v>
      </c>
      <c r="J2386" s="33">
        <f>[1]Source!Q2351</f>
        <v>2918861.7</v>
      </c>
      <c r="K2386" s="33"/>
      <c r="M2386"/>
      <c r="N2386"/>
      <c r="O2386"/>
      <c r="P2386"/>
      <c r="Q2386"/>
    </row>
    <row r="2387" spans="1:33" ht="14.25" x14ac:dyDescent="0.2">
      <c r="A2387" s="31"/>
      <c r="B2387" s="31"/>
      <c r="C2387" s="31" t="s">
        <v>37</v>
      </c>
      <c r="D2387" s="32"/>
      <c r="E2387" s="4"/>
      <c r="F2387" s="33">
        <f>[1]Source!AN2351</f>
        <v>184.56</v>
      </c>
      <c r="G2387" s="34" t="str">
        <f>[1]Source!DF2351</f>
        <v>)*1</v>
      </c>
      <c r="H2387" s="4">
        <f>[1]Source!AV2351</f>
        <v>1</v>
      </c>
      <c r="I2387" s="4">
        <f>IF([1]Source!BS2351&lt;&gt; 0, [1]Source!BS2351, 1)</f>
        <v>1</v>
      </c>
      <c r="J2387" s="41">
        <f>[1]Source!R2351</f>
        <v>1409669.28</v>
      </c>
      <c r="K2387" s="33"/>
      <c r="M2387"/>
      <c r="N2387"/>
      <c r="O2387"/>
      <c r="P2387"/>
      <c r="Q2387"/>
    </row>
    <row r="2388" spans="1:33" ht="14.25" x14ac:dyDescent="0.2">
      <c r="A2388" s="31"/>
      <c r="B2388" s="31"/>
      <c r="C2388" s="31" t="s">
        <v>40</v>
      </c>
      <c r="D2388" s="32" t="s">
        <v>39</v>
      </c>
      <c r="E2388" s="4">
        <f>[1]Source!AT2351</f>
        <v>70</v>
      </c>
      <c r="F2388" s="33"/>
      <c r="G2388" s="34"/>
      <c r="H2388" s="4"/>
      <c r="I2388" s="4"/>
      <c r="J2388" s="33">
        <f>SUM(AC2384:AC2387)</f>
        <v>490443.62</v>
      </c>
      <c r="K2388" s="33"/>
      <c r="M2388"/>
      <c r="N2388"/>
      <c r="O2388"/>
      <c r="P2388"/>
      <c r="Q2388"/>
    </row>
    <row r="2389" spans="1:33" ht="14.25" x14ac:dyDescent="0.2">
      <c r="A2389" s="31"/>
      <c r="B2389" s="31"/>
      <c r="C2389" s="31" t="s">
        <v>41</v>
      </c>
      <c r="D2389" s="32" t="s">
        <v>39</v>
      </c>
      <c r="E2389" s="4">
        <f>[1]Source!AU2351</f>
        <v>10</v>
      </c>
      <c r="F2389" s="33"/>
      <c r="G2389" s="34"/>
      <c r="H2389" s="4"/>
      <c r="I2389" s="4"/>
      <c r="J2389" s="33">
        <f>SUM(AE2384:AE2388)</f>
        <v>70063.37</v>
      </c>
      <c r="K2389" s="33"/>
      <c r="M2389"/>
      <c r="N2389"/>
      <c r="O2389"/>
      <c r="P2389"/>
      <c r="Q2389"/>
    </row>
    <row r="2390" spans="1:33" ht="14.25" x14ac:dyDescent="0.2">
      <c r="A2390" s="31"/>
      <c r="B2390" s="31"/>
      <c r="C2390" s="31" t="s">
        <v>38</v>
      </c>
      <c r="D2390" s="32" t="s">
        <v>39</v>
      </c>
      <c r="E2390" s="4">
        <f>108</f>
        <v>108</v>
      </c>
      <c r="F2390" s="33"/>
      <c r="G2390" s="34"/>
      <c r="H2390" s="4"/>
      <c r="I2390" s="4"/>
      <c r="J2390" s="33">
        <f>SUM(AG2384:AG2389)</f>
        <v>1522442.82</v>
      </c>
      <c r="K2390" s="33"/>
      <c r="M2390"/>
      <c r="N2390"/>
      <c r="O2390"/>
      <c r="P2390"/>
      <c r="Q2390"/>
    </row>
    <row r="2391" spans="1:33" ht="14.25" x14ac:dyDescent="0.2">
      <c r="A2391" s="31"/>
      <c r="B2391" s="31"/>
      <c r="C2391" s="31" t="s">
        <v>42</v>
      </c>
      <c r="D2391" s="32" t="s">
        <v>43</v>
      </c>
      <c r="E2391" s="4">
        <f>[1]Source!AQ2351</f>
        <v>0.37</v>
      </c>
      <c r="F2391" s="33"/>
      <c r="G2391" s="34" t="str">
        <f>[1]Source!DI2351</f>
        <v>)*1</v>
      </c>
      <c r="H2391" s="4">
        <f>[1]Source!AV2351</f>
        <v>1</v>
      </c>
      <c r="I2391" s="4"/>
      <c r="J2391" s="33"/>
      <c r="K2391" s="33">
        <f>[1]Source!U2351</f>
        <v>2826.06</v>
      </c>
      <c r="M2391"/>
      <c r="N2391"/>
      <c r="O2391"/>
      <c r="P2391"/>
      <c r="Q2391"/>
    </row>
    <row r="2392" spans="1:33" ht="15" x14ac:dyDescent="0.25">
      <c r="A2392" s="35"/>
      <c r="B2392" s="35"/>
      <c r="C2392" s="35"/>
      <c r="D2392" s="35"/>
      <c r="E2392" s="35"/>
      <c r="F2392" s="35"/>
      <c r="G2392" s="35"/>
      <c r="H2392" s="35"/>
      <c r="I2392" s="36">
        <f>J2385+J2386+J2388+J2389+J2390</f>
        <v>5702445.2500000009</v>
      </c>
      <c r="J2392" s="36"/>
      <c r="K2392" s="37">
        <f>IF([1]Source!I2351&lt;&gt;0, ROUND(I2392/[1]Source!I2351, 2), 0)</f>
        <v>746.59</v>
      </c>
      <c r="M2392"/>
      <c r="N2392"/>
      <c r="O2392"/>
      <c r="P2392"/>
      <c r="Q2392"/>
      <c r="AA2392" s="38">
        <f>I2392</f>
        <v>5702445.2500000009</v>
      </c>
    </row>
    <row r="2393" spans="1:33" ht="85.5" x14ac:dyDescent="0.2">
      <c r="A2393" s="31">
        <v>327</v>
      </c>
      <c r="B2393" s="31" t="str">
        <f>[1]Source!F2352</f>
        <v>5.3-1102-25-2/1</v>
      </c>
      <c r="C2393" s="31" t="str">
        <f>[1]Source!G2352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393" s="32" t="str">
        <f>[1]Source!H2352</f>
        <v>м3</v>
      </c>
      <c r="E2393" s="4">
        <f>[1]Source!I2352</f>
        <v>-7638</v>
      </c>
      <c r="F2393" s="33"/>
      <c r="G2393" s="34"/>
      <c r="H2393" s="4"/>
      <c r="I2393" s="4"/>
      <c r="J2393" s="33"/>
      <c r="K2393" s="33"/>
      <c r="M2393"/>
      <c r="N2393"/>
      <c r="O2393"/>
      <c r="P2393"/>
      <c r="Q2393"/>
      <c r="AB2393">
        <f>ROUND(([1]Source!BZ2352/100)*ROUND(([1]Source!AF2352*[1]Source!AV2352)*[1]Source!I2352, 2), 2)</f>
        <v>-119336.11</v>
      </c>
      <c r="AC2393">
        <f>[1]Source!X2352</f>
        <v>-119336.11</v>
      </c>
      <c r="AD2393">
        <f>ROUND(([1]Source!CA2352/100)*ROUND(([1]Source!AF2352*[1]Source!AV2352)*[1]Source!I2352, 2), 2)</f>
        <v>-17048.02</v>
      </c>
      <c r="AE2393">
        <f>[1]Source!Y2352</f>
        <v>-17048.02</v>
      </c>
      <c r="AF2393">
        <f>ROUND((175/100)*ROUND(([1]Source!AE2352*[1]Source!AV2352)*[1]Source!I2352, 2), 2)</f>
        <v>-478788.03</v>
      </c>
      <c r="AG2393">
        <f>ROUND((108/100)*ROUND([1]Source!CS2352*[1]Source!I2352, 2), 2)</f>
        <v>-295480.61</v>
      </c>
    </row>
    <row r="2394" spans="1:33" ht="14.25" x14ac:dyDescent="0.2">
      <c r="A2394" s="31"/>
      <c r="B2394" s="31"/>
      <c r="C2394" s="31" t="s">
        <v>34</v>
      </c>
      <c r="D2394" s="32"/>
      <c r="E2394" s="4"/>
      <c r="F2394" s="33">
        <f>[1]Source!AO2352</f>
        <v>7.44</v>
      </c>
      <c r="G2394" s="34" t="str">
        <f>[1]Source!DG2352</f>
        <v>)*3</v>
      </c>
      <c r="H2394" s="4">
        <f>[1]Source!AV2352</f>
        <v>1</v>
      </c>
      <c r="I2394" s="4">
        <f>IF([1]Source!BA2352&lt;&gt; 0, [1]Source!BA2352, 1)</f>
        <v>1</v>
      </c>
      <c r="J2394" s="33">
        <f>[1]Source!S2352</f>
        <v>-170480.16</v>
      </c>
      <c r="K2394" s="33"/>
      <c r="M2394"/>
      <c r="N2394"/>
      <c r="O2394"/>
      <c r="P2394"/>
      <c r="Q2394"/>
    </row>
    <row r="2395" spans="1:33" ht="14.25" x14ac:dyDescent="0.2">
      <c r="A2395" s="31"/>
      <c r="B2395" s="31"/>
      <c r="C2395" s="31" t="s">
        <v>33</v>
      </c>
      <c r="D2395" s="32"/>
      <c r="E2395" s="4"/>
      <c r="F2395" s="33">
        <f>[1]Source!AM2352</f>
        <v>24.73</v>
      </c>
      <c r="G2395" s="34" t="str">
        <f>[1]Source!DE2352</f>
        <v>)*3</v>
      </c>
      <c r="H2395" s="4">
        <f>[1]Source!AV2352</f>
        <v>1</v>
      </c>
      <c r="I2395" s="4">
        <f>IF([1]Source!BB2352&lt;&gt; 0, [1]Source!BB2352, 1)</f>
        <v>1</v>
      </c>
      <c r="J2395" s="33">
        <f>[1]Source!Q2352</f>
        <v>-566663.22</v>
      </c>
      <c r="K2395" s="33"/>
      <c r="M2395"/>
      <c r="N2395"/>
      <c r="O2395"/>
      <c r="P2395"/>
      <c r="Q2395"/>
    </row>
    <row r="2396" spans="1:33" ht="14.25" x14ac:dyDescent="0.2">
      <c r="A2396" s="31"/>
      <c r="B2396" s="31"/>
      <c r="C2396" s="31" t="s">
        <v>37</v>
      </c>
      <c r="D2396" s="32"/>
      <c r="E2396" s="4"/>
      <c r="F2396" s="33">
        <f>[1]Source!AN2352</f>
        <v>11.94</v>
      </c>
      <c r="G2396" s="34" t="str">
        <f>[1]Source!DF2352</f>
        <v>)*3</v>
      </c>
      <c r="H2396" s="4">
        <f>[1]Source!AV2352</f>
        <v>1</v>
      </c>
      <c r="I2396" s="4">
        <f>IF([1]Source!BS2352&lt;&gt; 0, [1]Source!BS2352, 1)</f>
        <v>1</v>
      </c>
      <c r="J2396" s="41">
        <f>[1]Source!R2352</f>
        <v>-273593.15999999997</v>
      </c>
      <c r="K2396" s="33"/>
      <c r="M2396"/>
      <c r="N2396"/>
      <c r="O2396"/>
      <c r="P2396"/>
      <c r="Q2396"/>
    </row>
    <row r="2397" spans="1:33" ht="14.25" x14ac:dyDescent="0.2">
      <c r="A2397" s="31"/>
      <c r="B2397" s="31"/>
      <c r="C2397" s="31" t="s">
        <v>40</v>
      </c>
      <c r="D2397" s="32" t="s">
        <v>39</v>
      </c>
      <c r="E2397" s="4">
        <f>[1]Source!AT2352</f>
        <v>70</v>
      </c>
      <c r="F2397" s="33"/>
      <c r="G2397" s="34"/>
      <c r="H2397" s="4"/>
      <c r="I2397" s="4"/>
      <c r="J2397" s="33">
        <f>SUM(AC2393:AC2396)</f>
        <v>-119336.11</v>
      </c>
      <c r="K2397" s="33"/>
      <c r="M2397"/>
      <c r="N2397"/>
      <c r="O2397"/>
      <c r="P2397"/>
      <c r="Q2397"/>
    </row>
    <row r="2398" spans="1:33" ht="14.25" x14ac:dyDescent="0.2">
      <c r="A2398" s="31"/>
      <c r="B2398" s="31"/>
      <c r="C2398" s="31" t="s">
        <v>41</v>
      </c>
      <c r="D2398" s="32" t="s">
        <v>39</v>
      </c>
      <c r="E2398" s="4">
        <f>[1]Source!AU2352</f>
        <v>10</v>
      </c>
      <c r="F2398" s="33"/>
      <c r="G2398" s="34"/>
      <c r="H2398" s="4"/>
      <c r="I2398" s="4"/>
      <c r="J2398" s="33">
        <f>SUM(AE2393:AE2397)</f>
        <v>-17048.02</v>
      </c>
      <c r="K2398" s="33"/>
      <c r="M2398"/>
      <c r="N2398"/>
      <c r="O2398"/>
      <c r="P2398"/>
      <c r="Q2398"/>
    </row>
    <row r="2399" spans="1:33" ht="14.25" x14ac:dyDescent="0.2">
      <c r="A2399" s="31"/>
      <c r="B2399" s="31"/>
      <c r="C2399" s="31" t="s">
        <v>38</v>
      </c>
      <c r="D2399" s="32" t="s">
        <v>39</v>
      </c>
      <c r="E2399" s="4">
        <f>108</f>
        <v>108</v>
      </c>
      <c r="F2399" s="33"/>
      <c r="G2399" s="34"/>
      <c r="H2399" s="4"/>
      <c r="I2399" s="4"/>
      <c r="J2399" s="33">
        <f>SUM(AG2393:AG2398)</f>
        <v>-295480.61</v>
      </c>
      <c r="K2399" s="33"/>
      <c r="M2399"/>
      <c r="N2399"/>
      <c r="O2399"/>
      <c r="P2399"/>
      <c r="Q2399"/>
    </row>
    <row r="2400" spans="1:33" ht="14.25" x14ac:dyDescent="0.2">
      <c r="A2400" s="31"/>
      <c r="B2400" s="31"/>
      <c r="C2400" s="31" t="s">
        <v>42</v>
      </c>
      <c r="D2400" s="32" t="s">
        <v>43</v>
      </c>
      <c r="E2400" s="4">
        <f>[1]Source!AQ2352</f>
        <v>0.03</v>
      </c>
      <c r="F2400" s="33"/>
      <c r="G2400" s="34" t="str">
        <f>[1]Source!DI2352</f>
        <v>)*3</v>
      </c>
      <c r="H2400" s="4">
        <f>[1]Source!AV2352</f>
        <v>1</v>
      </c>
      <c r="I2400" s="4"/>
      <c r="J2400" s="33"/>
      <c r="K2400" s="33">
        <f>[1]Source!U2352</f>
        <v>-687.42</v>
      </c>
      <c r="M2400"/>
      <c r="N2400"/>
      <c r="O2400"/>
      <c r="P2400"/>
      <c r="Q2400"/>
    </row>
    <row r="2401" spans="1:33" ht="15" x14ac:dyDescent="0.25">
      <c r="A2401" s="35"/>
      <c r="B2401" s="35"/>
      <c r="C2401" s="35"/>
      <c r="D2401" s="35"/>
      <c r="E2401" s="35"/>
      <c r="F2401" s="35"/>
      <c r="G2401" s="35"/>
      <c r="H2401" s="35"/>
      <c r="I2401" s="36">
        <f>J2394+J2395+J2397+J2398+J2399</f>
        <v>-1169008.1200000001</v>
      </c>
      <c r="J2401" s="36"/>
      <c r="K2401" s="37">
        <f>IF([1]Source!I2352&lt;&gt;0, ROUND(I2401/[1]Source!I2352, 2), 0)</f>
        <v>153.05000000000001</v>
      </c>
      <c r="M2401"/>
      <c r="N2401"/>
      <c r="O2401"/>
      <c r="P2401"/>
      <c r="Q2401"/>
      <c r="AA2401" s="38">
        <f>I2401</f>
        <v>-1169008.1200000001</v>
      </c>
    </row>
    <row r="2402" spans="1:33" ht="85.5" x14ac:dyDescent="0.2">
      <c r="A2402" s="31">
        <v>328</v>
      </c>
      <c r="B2402" s="31" t="str">
        <f>[1]Source!F2353</f>
        <v>5.3-1102-25-1/1</v>
      </c>
      <c r="C2402" s="31" t="str">
        <f>[1]Source!G2353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</c>
      <c r="D2402" s="32" t="str">
        <f>[1]Source!H2353</f>
        <v>м3</v>
      </c>
      <c r="E2402" s="4">
        <f>[1]Source!I2353</f>
        <v>7638</v>
      </c>
      <c r="F2402" s="33"/>
      <c r="G2402" s="34"/>
      <c r="H2402" s="4"/>
      <c r="I2402" s="4"/>
      <c r="J2402" s="33"/>
      <c r="K2402" s="33"/>
      <c r="M2402"/>
      <c r="N2402"/>
      <c r="O2402"/>
      <c r="P2402"/>
      <c r="Q2402"/>
      <c r="AB2402">
        <f>ROUND(([1]Source!BZ2353/100)*ROUND(([1]Source!AF2353*[1]Source!AV2353)*[1]Source!I2353, 2), 2)</f>
        <v>490443.62</v>
      </c>
      <c r="AC2402">
        <f>[1]Source!X2353</f>
        <v>490443.62</v>
      </c>
      <c r="AD2402">
        <f>ROUND(([1]Source!CA2353/100)*ROUND(([1]Source!AF2353*[1]Source!AV2353)*[1]Source!I2353, 2), 2)</f>
        <v>70063.37</v>
      </c>
      <c r="AE2402">
        <f>[1]Source!Y2353</f>
        <v>70063.37</v>
      </c>
      <c r="AF2402">
        <f>ROUND((175/100)*ROUND(([1]Source!AE2353*[1]Source!AV2353)*[1]Source!I2353, 2), 2)</f>
        <v>2466921.2400000002</v>
      </c>
      <c r="AG2402">
        <f>ROUND((108/100)*ROUND([1]Source!CS2353*[1]Source!I2353, 2), 2)</f>
        <v>1522442.82</v>
      </c>
    </row>
    <row r="2403" spans="1:33" ht="14.25" x14ac:dyDescent="0.2">
      <c r="A2403" s="31"/>
      <c r="B2403" s="31"/>
      <c r="C2403" s="31" t="s">
        <v>34</v>
      </c>
      <c r="D2403" s="32"/>
      <c r="E2403" s="4"/>
      <c r="F2403" s="33">
        <f>[1]Source!AO2353</f>
        <v>91.73</v>
      </c>
      <c r="G2403" s="34" t="str">
        <f>[1]Source!DG2353</f>
        <v>)*1</v>
      </c>
      <c r="H2403" s="4">
        <f>[1]Source!AV2353</f>
        <v>1</v>
      </c>
      <c r="I2403" s="4">
        <f>IF([1]Source!BA2353&lt;&gt; 0, [1]Source!BA2353, 1)</f>
        <v>1</v>
      </c>
      <c r="J2403" s="33">
        <f>[1]Source!S2353</f>
        <v>700633.74</v>
      </c>
      <c r="K2403" s="33"/>
      <c r="M2403"/>
      <c r="N2403"/>
      <c r="O2403"/>
      <c r="P2403"/>
      <c r="Q2403"/>
    </row>
    <row r="2404" spans="1:33" ht="14.25" x14ac:dyDescent="0.2">
      <c r="A2404" s="31"/>
      <c r="B2404" s="31"/>
      <c r="C2404" s="31" t="s">
        <v>33</v>
      </c>
      <c r="D2404" s="32"/>
      <c r="E2404" s="4"/>
      <c r="F2404" s="33">
        <f>[1]Source!AM2353</f>
        <v>382.15</v>
      </c>
      <c r="G2404" s="34" t="str">
        <f>[1]Source!DE2353</f>
        <v>)*1</v>
      </c>
      <c r="H2404" s="4">
        <f>[1]Source!AV2353</f>
        <v>1</v>
      </c>
      <c r="I2404" s="4">
        <f>IF([1]Source!BB2353&lt;&gt; 0, [1]Source!BB2353, 1)</f>
        <v>1</v>
      </c>
      <c r="J2404" s="33">
        <f>[1]Source!Q2353</f>
        <v>2918861.7</v>
      </c>
      <c r="K2404" s="33"/>
      <c r="M2404"/>
      <c r="N2404"/>
      <c r="O2404"/>
      <c r="P2404"/>
      <c r="Q2404"/>
    </row>
    <row r="2405" spans="1:33" ht="14.25" x14ac:dyDescent="0.2">
      <c r="A2405" s="31"/>
      <c r="B2405" s="31"/>
      <c r="C2405" s="31" t="s">
        <v>37</v>
      </c>
      <c r="D2405" s="32"/>
      <c r="E2405" s="4"/>
      <c r="F2405" s="33">
        <f>[1]Source!AN2353</f>
        <v>184.56</v>
      </c>
      <c r="G2405" s="34" t="str">
        <f>[1]Source!DF2353</f>
        <v>)*1</v>
      </c>
      <c r="H2405" s="4">
        <f>[1]Source!AV2353</f>
        <v>1</v>
      </c>
      <c r="I2405" s="4">
        <f>IF([1]Source!BS2353&lt;&gt; 0, [1]Source!BS2353, 1)</f>
        <v>1</v>
      </c>
      <c r="J2405" s="41">
        <f>[1]Source!R2353</f>
        <v>1409669.28</v>
      </c>
      <c r="K2405" s="33"/>
      <c r="M2405"/>
      <c r="N2405"/>
      <c r="O2405"/>
      <c r="P2405"/>
      <c r="Q2405"/>
    </row>
    <row r="2406" spans="1:33" ht="14.25" x14ac:dyDescent="0.2">
      <c r="A2406" s="31"/>
      <c r="B2406" s="31"/>
      <c r="C2406" s="31" t="s">
        <v>40</v>
      </c>
      <c r="D2406" s="32" t="s">
        <v>39</v>
      </c>
      <c r="E2406" s="4">
        <f>[1]Source!AT2353</f>
        <v>70</v>
      </c>
      <c r="F2406" s="33"/>
      <c r="G2406" s="34"/>
      <c r="H2406" s="4"/>
      <c r="I2406" s="4"/>
      <c r="J2406" s="33">
        <f>SUM(AC2402:AC2405)</f>
        <v>490443.62</v>
      </c>
      <c r="K2406" s="33"/>
      <c r="M2406"/>
      <c r="N2406"/>
      <c r="O2406"/>
      <c r="P2406"/>
      <c r="Q2406"/>
    </row>
    <row r="2407" spans="1:33" ht="14.25" x14ac:dyDescent="0.2">
      <c r="A2407" s="31"/>
      <c r="B2407" s="31"/>
      <c r="C2407" s="31" t="s">
        <v>41</v>
      </c>
      <c r="D2407" s="32" t="s">
        <v>39</v>
      </c>
      <c r="E2407" s="4">
        <f>[1]Source!AU2353</f>
        <v>10</v>
      </c>
      <c r="F2407" s="33"/>
      <c r="G2407" s="34"/>
      <c r="H2407" s="4"/>
      <c r="I2407" s="4"/>
      <c r="J2407" s="33">
        <f>SUM(AE2402:AE2406)</f>
        <v>70063.37</v>
      </c>
      <c r="K2407" s="33"/>
      <c r="M2407"/>
      <c r="N2407"/>
      <c r="O2407"/>
      <c r="P2407"/>
      <c r="Q2407"/>
    </row>
    <row r="2408" spans="1:33" ht="14.25" x14ac:dyDescent="0.2">
      <c r="A2408" s="31"/>
      <c r="B2408" s="31"/>
      <c r="C2408" s="31" t="s">
        <v>38</v>
      </c>
      <c r="D2408" s="32" t="s">
        <v>39</v>
      </c>
      <c r="E2408" s="4">
        <f>108</f>
        <v>108</v>
      </c>
      <c r="F2408" s="33"/>
      <c r="G2408" s="34"/>
      <c r="H2408" s="4"/>
      <c r="I2408" s="4"/>
      <c r="J2408" s="33">
        <f>SUM(AG2402:AG2407)</f>
        <v>1522442.82</v>
      </c>
      <c r="K2408" s="33"/>
      <c r="M2408"/>
      <c r="N2408"/>
      <c r="O2408"/>
      <c r="P2408"/>
      <c r="Q2408"/>
    </row>
    <row r="2409" spans="1:33" ht="14.25" x14ac:dyDescent="0.2">
      <c r="A2409" s="31"/>
      <c r="B2409" s="31"/>
      <c r="C2409" s="31" t="s">
        <v>42</v>
      </c>
      <c r="D2409" s="32" t="s">
        <v>43</v>
      </c>
      <c r="E2409" s="4">
        <f>[1]Source!AQ2353</f>
        <v>0.37</v>
      </c>
      <c r="F2409" s="33"/>
      <c r="G2409" s="34" t="str">
        <f>[1]Source!DI2353</f>
        <v>)*1</v>
      </c>
      <c r="H2409" s="4">
        <f>[1]Source!AV2353</f>
        <v>1</v>
      </c>
      <c r="I2409" s="4"/>
      <c r="J2409" s="33"/>
      <c r="K2409" s="33">
        <f>[1]Source!U2353</f>
        <v>2826.06</v>
      </c>
      <c r="M2409"/>
      <c r="N2409"/>
      <c r="O2409"/>
      <c r="P2409"/>
      <c r="Q2409"/>
    </row>
    <row r="2410" spans="1:33" ht="15" x14ac:dyDescent="0.25">
      <c r="A2410" s="35"/>
      <c r="B2410" s="35"/>
      <c r="C2410" s="35"/>
      <c r="D2410" s="35"/>
      <c r="E2410" s="35"/>
      <c r="F2410" s="35"/>
      <c r="G2410" s="35"/>
      <c r="H2410" s="35"/>
      <c r="I2410" s="36">
        <f>J2403+J2404+J2406+J2407+J2408</f>
        <v>5702445.2500000009</v>
      </c>
      <c r="J2410" s="36"/>
      <c r="K2410" s="37">
        <f>IF([1]Source!I2353&lt;&gt;0, ROUND(I2410/[1]Source!I2353, 2), 0)</f>
        <v>746.59</v>
      </c>
      <c r="M2410"/>
      <c r="N2410"/>
      <c r="O2410"/>
      <c r="P2410"/>
      <c r="Q2410"/>
      <c r="AA2410" s="38">
        <f>I2410</f>
        <v>5702445.2500000009</v>
      </c>
    </row>
    <row r="2411" spans="1:33" ht="85.5" x14ac:dyDescent="0.2">
      <c r="A2411" s="31">
        <v>329</v>
      </c>
      <c r="B2411" s="31" t="str">
        <f>[1]Source!F2354</f>
        <v>5.3-1102-25-2/1</v>
      </c>
      <c r="C2411" s="31" t="str">
        <f>[1]Source!G2354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411" s="32" t="str">
        <f>[1]Source!H2354</f>
        <v>м3</v>
      </c>
      <c r="E2411" s="4">
        <f>[1]Source!I2354</f>
        <v>-7638</v>
      </c>
      <c r="F2411" s="33"/>
      <c r="G2411" s="34"/>
      <c r="H2411" s="4"/>
      <c r="I2411" s="4"/>
      <c r="J2411" s="33"/>
      <c r="K2411" s="33"/>
      <c r="M2411"/>
      <c r="N2411"/>
      <c r="O2411"/>
      <c r="P2411"/>
      <c r="Q2411"/>
      <c r="AB2411">
        <f>ROUND(([1]Source!BZ2354/100)*ROUND(([1]Source!AF2354*[1]Source!AV2354)*[1]Source!I2354, 2), 2)</f>
        <v>-79557.41</v>
      </c>
      <c r="AC2411">
        <f>[1]Source!X2354</f>
        <v>-79557.41</v>
      </c>
      <c r="AD2411">
        <f>ROUND(([1]Source!CA2354/100)*ROUND(([1]Source!AF2354*[1]Source!AV2354)*[1]Source!I2354, 2), 2)</f>
        <v>-11365.34</v>
      </c>
      <c r="AE2411">
        <f>[1]Source!Y2354</f>
        <v>-11365.34</v>
      </c>
      <c r="AF2411">
        <f>ROUND((175/100)*ROUND(([1]Source!AE2354*[1]Source!AV2354)*[1]Source!I2354, 2), 2)</f>
        <v>-319192.02</v>
      </c>
      <c r="AG2411">
        <f>ROUND((108/100)*ROUND([1]Source!CS2354*[1]Source!I2354, 2), 2)</f>
        <v>-196987.08</v>
      </c>
    </row>
    <row r="2412" spans="1:33" ht="14.25" x14ac:dyDescent="0.2">
      <c r="A2412" s="31"/>
      <c r="B2412" s="31"/>
      <c r="C2412" s="31" t="s">
        <v>34</v>
      </c>
      <c r="D2412" s="32"/>
      <c r="E2412" s="4"/>
      <c r="F2412" s="33">
        <f>[1]Source!AO2354</f>
        <v>7.44</v>
      </c>
      <c r="G2412" s="34" t="str">
        <f>[1]Source!DG2354</f>
        <v>)*2</v>
      </c>
      <c r="H2412" s="4">
        <f>[1]Source!AV2354</f>
        <v>1</v>
      </c>
      <c r="I2412" s="4">
        <f>IF([1]Source!BA2354&lt;&gt; 0, [1]Source!BA2354, 1)</f>
        <v>1</v>
      </c>
      <c r="J2412" s="33">
        <f>[1]Source!S2354</f>
        <v>-113653.44</v>
      </c>
      <c r="K2412" s="33"/>
      <c r="M2412"/>
      <c r="N2412"/>
      <c r="O2412"/>
      <c r="P2412"/>
      <c r="Q2412"/>
    </row>
    <row r="2413" spans="1:33" ht="14.25" x14ac:dyDescent="0.2">
      <c r="A2413" s="31"/>
      <c r="B2413" s="31"/>
      <c r="C2413" s="31" t="s">
        <v>33</v>
      </c>
      <c r="D2413" s="32"/>
      <c r="E2413" s="4"/>
      <c r="F2413" s="33">
        <f>[1]Source!AM2354</f>
        <v>24.73</v>
      </c>
      <c r="G2413" s="34" t="str">
        <f>[1]Source!DE2354</f>
        <v>)*2</v>
      </c>
      <c r="H2413" s="4">
        <f>[1]Source!AV2354</f>
        <v>1</v>
      </c>
      <c r="I2413" s="4">
        <f>IF([1]Source!BB2354&lt;&gt; 0, [1]Source!BB2354, 1)</f>
        <v>1</v>
      </c>
      <c r="J2413" s="33">
        <f>[1]Source!Q2354</f>
        <v>-377775.48</v>
      </c>
      <c r="K2413" s="33"/>
      <c r="M2413"/>
      <c r="N2413"/>
      <c r="O2413"/>
      <c r="P2413"/>
      <c r="Q2413"/>
    </row>
    <row r="2414" spans="1:33" ht="14.25" x14ac:dyDescent="0.2">
      <c r="A2414" s="31"/>
      <c r="B2414" s="31"/>
      <c r="C2414" s="31" t="s">
        <v>37</v>
      </c>
      <c r="D2414" s="32"/>
      <c r="E2414" s="4"/>
      <c r="F2414" s="33">
        <f>[1]Source!AN2354</f>
        <v>11.94</v>
      </c>
      <c r="G2414" s="34" t="str">
        <f>[1]Source!DF2354</f>
        <v>)*2</v>
      </c>
      <c r="H2414" s="4">
        <f>[1]Source!AV2354</f>
        <v>1</v>
      </c>
      <c r="I2414" s="4">
        <f>IF([1]Source!BS2354&lt;&gt; 0, [1]Source!BS2354, 1)</f>
        <v>1</v>
      </c>
      <c r="J2414" s="41">
        <f>[1]Source!R2354</f>
        <v>-182395.44</v>
      </c>
      <c r="K2414" s="33"/>
      <c r="M2414"/>
      <c r="N2414"/>
      <c r="O2414"/>
      <c r="P2414"/>
      <c r="Q2414"/>
    </row>
    <row r="2415" spans="1:33" ht="14.25" x14ac:dyDescent="0.2">
      <c r="A2415" s="31"/>
      <c r="B2415" s="31"/>
      <c r="C2415" s="31" t="s">
        <v>40</v>
      </c>
      <c r="D2415" s="32" t="s">
        <v>39</v>
      </c>
      <c r="E2415" s="4">
        <f>[1]Source!AT2354</f>
        <v>70</v>
      </c>
      <c r="F2415" s="33"/>
      <c r="G2415" s="34"/>
      <c r="H2415" s="4"/>
      <c r="I2415" s="4"/>
      <c r="J2415" s="33">
        <f>SUM(AC2411:AC2414)</f>
        <v>-79557.41</v>
      </c>
      <c r="K2415" s="33"/>
      <c r="M2415"/>
      <c r="N2415"/>
      <c r="O2415"/>
      <c r="P2415"/>
      <c r="Q2415"/>
    </row>
    <row r="2416" spans="1:33" ht="14.25" x14ac:dyDescent="0.2">
      <c r="A2416" s="31"/>
      <c r="B2416" s="31"/>
      <c r="C2416" s="31" t="s">
        <v>41</v>
      </c>
      <c r="D2416" s="32" t="s">
        <v>39</v>
      </c>
      <c r="E2416" s="4">
        <f>[1]Source!AU2354</f>
        <v>10</v>
      </c>
      <c r="F2416" s="33"/>
      <c r="G2416" s="34"/>
      <c r="H2416" s="4"/>
      <c r="I2416" s="4"/>
      <c r="J2416" s="33">
        <f>SUM(AE2411:AE2415)</f>
        <v>-11365.34</v>
      </c>
      <c r="K2416" s="33"/>
      <c r="M2416"/>
      <c r="N2416"/>
      <c r="O2416"/>
      <c r="P2416"/>
      <c r="Q2416"/>
    </row>
    <row r="2417" spans="1:33" ht="14.25" x14ac:dyDescent="0.2">
      <c r="A2417" s="31"/>
      <c r="B2417" s="31"/>
      <c r="C2417" s="31" t="s">
        <v>38</v>
      </c>
      <c r="D2417" s="32" t="s">
        <v>39</v>
      </c>
      <c r="E2417" s="4">
        <f>108</f>
        <v>108</v>
      </c>
      <c r="F2417" s="33"/>
      <c r="G2417" s="34"/>
      <c r="H2417" s="4"/>
      <c r="I2417" s="4"/>
      <c r="J2417" s="33">
        <f>SUM(AG2411:AG2416)</f>
        <v>-196987.08</v>
      </c>
      <c r="K2417" s="33"/>
      <c r="M2417"/>
      <c r="N2417"/>
      <c r="O2417"/>
      <c r="P2417"/>
      <c r="Q2417"/>
    </row>
    <row r="2418" spans="1:33" ht="14.25" x14ac:dyDescent="0.2">
      <c r="A2418" s="31"/>
      <c r="B2418" s="31"/>
      <c r="C2418" s="31" t="s">
        <v>42</v>
      </c>
      <c r="D2418" s="32" t="s">
        <v>43</v>
      </c>
      <c r="E2418" s="4">
        <f>[1]Source!AQ2354</f>
        <v>0.03</v>
      </c>
      <c r="F2418" s="33"/>
      <c r="G2418" s="34" t="str">
        <f>[1]Source!DI2354</f>
        <v>)*2</v>
      </c>
      <c r="H2418" s="4">
        <f>[1]Source!AV2354</f>
        <v>1</v>
      </c>
      <c r="I2418" s="4"/>
      <c r="J2418" s="33"/>
      <c r="K2418" s="33">
        <f>[1]Source!U2354</f>
        <v>-458.28</v>
      </c>
      <c r="M2418"/>
      <c r="N2418"/>
      <c r="O2418"/>
      <c r="P2418"/>
      <c r="Q2418"/>
    </row>
    <row r="2419" spans="1:33" ht="15" x14ac:dyDescent="0.25">
      <c r="A2419" s="35"/>
      <c r="B2419" s="35"/>
      <c r="C2419" s="35"/>
      <c r="D2419" s="35"/>
      <c r="E2419" s="35"/>
      <c r="F2419" s="35"/>
      <c r="G2419" s="35"/>
      <c r="H2419" s="35"/>
      <c r="I2419" s="36">
        <f>J2412+J2413+J2415+J2416+J2417</f>
        <v>-779338.74999999988</v>
      </c>
      <c r="J2419" s="36"/>
      <c r="K2419" s="37">
        <f>IF([1]Source!I2354&lt;&gt;0, ROUND(I2419/[1]Source!I2354, 2), 0)</f>
        <v>102.03</v>
      </c>
      <c r="M2419"/>
      <c r="N2419"/>
      <c r="O2419"/>
      <c r="P2419"/>
      <c r="Q2419"/>
      <c r="AA2419" s="38">
        <f>I2419</f>
        <v>-779338.74999999988</v>
      </c>
    </row>
    <row r="2420" spans="1:33" ht="85.5" x14ac:dyDescent="0.2">
      <c r="A2420" s="31">
        <v>330</v>
      </c>
      <c r="B2420" s="31" t="str">
        <f>[1]Source!F2355</f>
        <v>5.3-1102-25-1/1</v>
      </c>
      <c r="C2420" s="31" t="str">
        <f>[1]Source!G2355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</c>
      <c r="D2420" s="32" t="str">
        <f>[1]Source!H2355</f>
        <v>м3</v>
      </c>
      <c r="E2420" s="4">
        <f>[1]Source!I2355</f>
        <v>7638</v>
      </c>
      <c r="F2420" s="33"/>
      <c r="G2420" s="34"/>
      <c r="H2420" s="4"/>
      <c r="I2420" s="4"/>
      <c r="J2420" s="33"/>
      <c r="K2420" s="33"/>
      <c r="M2420"/>
      <c r="N2420"/>
      <c r="O2420"/>
      <c r="P2420"/>
      <c r="Q2420"/>
      <c r="AB2420">
        <f>ROUND(([1]Source!BZ2355/100)*ROUND(([1]Source!AF2355*[1]Source!AV2355)*[1]Source!I2355, 2), 2)</f>
        <v>490443.62</v>
      </c>
      <c r="AC2420">
        <f>[1]Source!X2355</f>
        <v>490443.62</v>
      </c>
      <c r="AD2420">
        <f>ROUND(([1]Source!CA2355/100)*ROUND(([1]Source!AF2355*[1]Source!AV2355)*[1]Source!I2355, 2), 2)</f>
        <v>70063.37</v>
      </c>
      <c r="AE2420">
        <f>[1]Source!Y2355</f>
        <v>70063.37</v>
      </c>
      <c r="AF2420">
        <f>ROUND((175/100)*ROUND(([1]Source!AE2355*[1]Source!AV2355)*[1]Source!I2355, 2), 2)</f>
        <v>2466921.2400000002</v>
      </c>
      <c r="AG2420">
        <f>ROUND((108/100)*ROUND([1]Source!CS2355*[1]Source!I2355, 2), 2)</f>
        <v>1522442.82</v>
      </c>
    </row>
    <row r="2421" spans="1:33" ht="14.25" x14ac:dyDescent="0.2">
      <c r="A2421" s="31"/>
      <c r="B2421" s="31"/>
      <c r="C2421" s="31" t="s">
        <v>34</v>
      </c>
      <c r="D2421" s="32"/>
      <c r="E2421" s="4"/>
      <c r="F2421" s="33">
        <f>[1]Source!AO2355</f>
        <v>91.73</v>
      </c>
      <c r="G2421" s="34" t="str">
        <f>[1]Source!DG2355</f>
        <v>)*1</v>
      </c>
      <c r="H2421" s="4">
        <f>[1]Source!AV2355</f>
        <v>1</v>
      </c>
      <c r="I2421" s="4">
        <f>IF([1]Source!BA2355&lt;&gt; 0, [1]Source!BA2355, 1)</f>
        <v>1</v>
      </c>
      <c r="J2421" s="33">
        <f>[1]Source!S2355</f>
        <v>700633.74</v>
      </c>
      <c r="K2421" s="33"/>
      <c r="M2421"/>
      <c r="N2421"/>
      <c r="O2421"/>
      <c r="P2421"/>
      <c r="Q2421"/>
    </row>
    <row r="2422" spans="1:33" ht="14.25" x14ac:dyDescent="0.2">
      <c r="A2422" s="31"/>
      <c r="B2422" s="31"/>
      <c r="C2422" s="31" t="s">
        <v>33</v>
      </c>
      <c r="D2422" s="32"/>
      <c r="E2422" s="4"/>
      <c r="F2422" s="33">
        <f>[1]Source!AM2355</f>
        <v>382.15</v>
      </c>
      <c r="G2422" s="34" t="str">
        <f>[1]Source!DE2355</f>
        <v>)*1</v>
      </c>
      <c r="H2422" s="4">
        <f>[1]Source!AV2355</f>
        <v>1</v>
      </c>
      <c r="I2422" s="4">
        <f>IF([1]Source!BB2355&lt;&gt; 0, [1]Source!BB2355, 1)</f>
        <v>1</v>
      </c>
      <c r="J2422" s="33">
        <f>[1]Source!Q2355</f>
        <v>2918861.7</v>
      </c>
      <c r="K2422" s="33"/>
      <c r="M2422"/>
      <c r="N2422"/>
      <c r="O2422"/>
      <c r="P2422"/>
      <c r="Q2422"/>
    </row>
    <row r="2423" spans="1:33" ht="14.25" x14ac:dyDescent="0.2">
      <c r="A2423" s="31"/>
      <c r="B2423" s="31"/>
      <c r="C2423" s="31" t="s">
        <v>37</v>
      </c>
      <c r="D2423" s="32"/>
      <c r="E2423" s="4"/>
      <c r="F2423" s="33">
        <f>[1]Source!AN2355</f>
        <v>184.56</v>
      </c>
      <c r="G2423" s="34" t="str">
        <f>[1]Source!DF2355</f>
        <v>)*1</v>
      </c>
      <c r="H2423" s="4">
        <f>[1]Source!AV2355</f>
        <v>1</v>
      </c>
      <c r="I2423" s="4">
        <f>IF([1]Source!BS2355&lt;&gt; 0, [1]Source!BS2355, 1)</f>
        <v>1</v>
      </c>
      <c r="J2423" s="41">
        <f>[1]Source!R2355</f>
        <v>1409669.28</v>
      </c>
      <c r="K2423" s="33"/>
      <c r="M2423"/>
      <c r="N2423"/>
      <c r="O2423"/>
      <c r="P2423"/>
      <c r="Q2423"/>
    </row>
    <row r="2424" spans="1:33" ht="14.25" x14ac:dyDescent="0.2">
      <c r="A2424" s="31"/>
      <c r="B2424" s="31"/>
      <c r="C2424" s="31" t="s">
        <v>40</v>
      </c>
      <c r="D2424" s="32" t="s">
        <v>39</v>
      </c>
      <c r="E2424" s="4">
        <f>[1]Source!AT2355</f>
        <v>70</v>
      </c>
      <c r="F2424" s="33"/>
      <c r="G2424" s="34"/>
      <c r="H2424" s="4"/>
      <c r="I2424" s="4"/>
      <c r="J2424" s="33">
        <f>SUM(AC2420:AC2423)</f>
        <v>490443.62</v>
      </c>
      <c r="K2424" s="33"/>
      <c r="M2424"/>
      <c r="N2424"/>
      <c r="O2424"/>
      <c r="P2424"/>
      <c r="Q2424"/>
    </row>
    <row r="2425" spans="1:33" ht="14.25" x14ac:dyDescent="0.2">
      <c r="A2425" s="31"/>
      <c r="B2425" s="31"/>
      <c r="C2425" s="31" t="s">
        <v>41</v>
      </c>
      <c r="D2425" s="32" t="s">
        <v>39</v>
      </c>
      <c r="E2425" s="4">
        <f>[1]Source!AU2355</f>
        <v>10</v>
      </c>
      <c r="F2425" s="33"/>
      <c r="G2425" s="34"/>
      <c r="H2425" s="4"/>
      <c r="I2425" s="4"/>
      <c r="J2425" s="33">
        <f>SUM(AE2420:AE2424)</f>
        <v>70063.37</v>
      </c>
      <c r="K2425" s="33"/>
      <c r="M2425"/>
      <c r="N2425"/>
      <c r="O2425"/>
      <c r="P2425"/>
      <c r="Q2425"/>
    </row>
    <row r="2426" spans="1:33" ht="14.25" x14ac:dyDescent="0.2">
      <c r="A2426" s="31"/>
      <c r="B2426" s="31"/>
      <c r="C2426" s="31" t="s">
        <v>38</v>
      </c>
      <c r="D2426" s="32" t="s">
        <v>39</v>
      </c>
      <c r="E2426" s="4">
        <f>108</f>
        <v>108</v>
      </c>
      <c r="F2426" s="33"/>
      <c r="G2426" s="34"/>
      <c r="H2426" s="4"/>
      <c r="I2426" s="4"/>
      <c r="J2426" s="33">
        <f>SUM(AG2420:AG2425)</f>
        <v>1522442.82</v>
      </c>
      <c r="K2426" s="33"/>
      <c r="M2426"/>
      <c r="N2426"/>
      <c r="O2426"/>
      <c r="P2426"/>
      <c r="Q2426"/>
    </row>
    <row r="2427" spans="1:33" ht="14.25" x14ac:dyDescent="0.2">
      <c r="A2427" s="31"/>
      <c r="B2427" s="31"/>
      <c r="C2427" s="31" t="s">
        <v>42</v>
      </c>
      <c r="D2427" s="32" t="s">
        <v>43</v>
      </c>
      <c r="E2427" s="4">
        <f>[1]Source!AQ2355</f>
        <v>0.37</v>
      </c>
      <c r="F2427" s="33"/>
      <c r="G2427" s="34" t="str">
        <f>[1]Source!DI2355</f>
        <v>)*1</v>
      </c>
      <c r="H2427" s="4">
        <f>[1]Source!AV2355</f>
        <v>1</v>
      </c>
      <c r="I2427" s="4"/>
      <c r="J2427" s="33"/>
      <c r="K2427" s="33">
        <f>[1]Source!U2355</f>
        <v>2826.06</v>
      </c>
      <c r="M2427"/>
      <c r="N2427"/>
      <c r="O2427"/>
      <c r="P2427"/>
      <c r="Q2427"/>
    </row>
    <row r="2428" spans="1:33" ht="15" x14ac:dyDescent="0.25">
      <c r="A2428" s="35"/>
      <c r="B2428" s="35"/>
      <c r="C2428" s="35"/>
      <c r="D2428" s="35"/>
      <c r="E2428" s="35"/>
      <c r="F2428" s="35"/>
      <c r="G2428" s="35"/>
      <c r="H2428" s="35"/>
      <c r="I2428" s="36">
        <f>J2421+J2422+J2424+J2425+J2426</f>
        <v>5702445.2500000009</v>
      </c>
      <c r="J2428" s="36"/>
      <c r="K2428" s="37">
        <f>IF([1]Source!I2355&lt;&gt;0, ROUND(I2428/[1]Source!I2355, 2), 0)</f>
        <v>746.59</v>
      </c>
      <c r="M2428"/>
      <c r="N2428"/>
      <c r="O2428"/>
      <c r="P2428"/>
      <c r="Q2428"/>
      <c r="AA2428" s="38">
        <f>I2428</f>
        <v>5702445.2500000009</v>
      </c>
    </row>
    <row r="2429" spans="1:33" ht="85.5" x14ac:dyDescent="0.2">
      <c r="A2429" s="31">
        <v>331</v>
      </c>
      <c r="B2429" s="31" t="str">
        <f>[1]Source!F2356</f>
        <v>5.3-1102-25-2/1</v>
      </c>
      <c r="C2429" s="31" t="str">
        <f>[1]Source!G2356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429" s="32" t="str">
        <f>[1]Source!H2356</f>
        <v>м3</v>
      </c>
      <c r="E2429" s="4">
        <f>[1]Source!I2356</f>
        <v>-7638</v>
      </c>
      <c r="F2429" s="33"/>
      <c r="G2429" s="34"/>
      <c r="H2429" s="4"/>
      <c r="I2429" s="4"/>
      <c r="J2429" s="33"/>
      <c r="K2429" s="33"/>
      <c r="M2429"/>
      <c r="N2429"/>
      <c r="O2429"/>
      <c r="P2429"/>
      <c r="Q2429"/>
      <c r="AB2429">
        <f>ROUND(([1]Source!BZ2356/100)*ROUND(([1]Source!AF2356*[1]Source!AV2356)*[1]Source!I2356, 2), 2)</f>
        <v>-39778.699999999997</v>
      </c>
      <c r="AC2429">
        <f>[1]Source!X2356</f>
        <v>-39778.699999999997</v>
      </c>
      <c r="AD2429">
        <f>ROUND(([1]Source!CA2356/100)*ROUND(([1]Source!AF2356*[1]Source!AV2356)*[1]Source!I2356, 2), 2)</f>
        <v>-5682.67</v>
      </c>
      <c r="AE2429">
        <f>[1]Source!Y2356</f>
        <v>-5682.67</v>
      </c>
      <c r="AF2429">
        <f>ROUND((175/100)*ROUND(([1]Source!AE2356*[1]Source!AV2356)*[1]Source!I2356, 2), 2)</f>
        <v>-159596.01</v>
      </c>
      <c r="AG2429">
        <f>ROUND((108/100)*ROUND([1]Source!CS2356*[1]Source!I2356, 2), 2)</f>
        <v>-98493.54</v>
      </c>
    </row>
    <row r="2430" spans="1:33" ht="14.25" x14ac:dyDescent="0.2">
      <c r="A2430" s="31"/>
      <c r="B2430" s="31"/>
      <c r="C2430" s="31" t="s">
        <v>34</v>
      </c>
      <c r="D2430" s="32"/>
      <c r="E2430" s="4"/>
      <c r="F2430" s="33">
        <f>[1]Source!AO2356</f>
        <v>7.44</v>
      </c>
      <c r="G2430" s="34" t="str">
        <f>[1]Source!DG2356</f>
        <v>)*1</v>
      </c>
      <c r="H2430" s="4">
        <f>[1]Source!AV2356</f>
        <v>1</v>
      </c>
      <c r="I2430" s="4">
        <f>IF([1]Source!BA2356&lt;&gt; 0, [1]Source!BA2356, 1)</f>
        <v>1</v>
      </c>
      <c r="J2430" s="33">
        <f>[1]Source!S2356</f>
        <v>-56826.720000000001</v>
      </c>
      <c r="K2430" s="33"/>
      <c r="M2430"/>
      <c r="N2430"/>
      <c r="O2430"/>
      <c r="P2430"/>
      <c r="Q2430"/>
    </row>
    <row r="2431" spans="1:33" ht="14.25" x14ac:dyDescent="0.2">
      <c r="A2431" s="31"/>
      <c r="B2431" s="31"/>
      <c r="C2431" s="31" t="s">
        <v>33</v>
      </c>
      <c r="D2431" s="32"/>
      <c r="E2431" s="4"/>
      <c r="F2431" s="33">
        <f>[1]Source!AM2356</f>
        <v>24.73</v>
      </c>
      <c r="G2431" s="34" t="str">
        <f>[1]Source!DE2356</f>
        <v>)*1</v>
      </c>
      <c r="H2431" s="4">
        <f>[1]Source!AV2356</f>
        <v>1</v>
      </c>
      <c r="I2431" s="4">
        <f>IF([1]Source!BB2356&lt;&gt; 0, [1]Source!BB2356, 1)</f>
        <v>1</v>
      </c>
      <c r="J2431" s="33">
        <f>[1]Source!Q2356</f>
        <v>-188887.74</v>
      </c>
      <c r="K2431" s="33"/>
      <c r="M2431"/>
      <c r="N2431"/>
      <c r="O2431"/>
      <c r="P2431"/>
      <c r="Q2431"/>
    </row>
    <row r="2432" spans="1:33" ht="14.25" x14ac:dyDescent="0.2">
      <c r="A2432" s="31"/>
      <c r="B2432" s="31"/>
      <c r="C2432" s="31" t="s">
        <v>37</v>
      </c>
      <c r="D2432" s="32"/>
      <c r="E2432" s="4"/>
      <c r="F2432" s="33">
        <f>[1]Source!AN2356</f>
        <v>11.94</v>
      </c>
      <c r="G2432" s="34" t="str">
        <f>[1]Source!DF2356</f>
        <v>)*1</v>
      </c>
      <c r="H2432" s="4">
        <f>[1]Source!AV2356</f>
        <v>1</v>
      </c>
      <c r="I2432" s="4">
        <f>IF([1]Source!BS2356&lt;&gt; 0, [1]Source!BS2356, 1)</f>
        <v>1</v>
      </c>
      <c r="J2432" s="41">
        <f>[1]Source!R2356</f>
        <v>-91197.72</v>
      </c>
      <c r="K2432" s="33"/>
      <c r="M2432"/>
      <c r="N2432"/>
      <c r="O2432"/>
      <c r="P2432"/>
      <c r="Q2432"/>
    </row>
    <row r="2433" spans="1:43" ht="14.25" x14ac:dyDescent="0.2">
      <c r="A2433" s="31"/>
      <c r="B2433" s="31"/>
      <c r="C2433" s="31" t="s">
        <v>40</v>
      </c>
      <c r="D2433" s="32" t="s">
        <v>39</v>
      </c>
      <c r="E2433" s="4">
        <f>[1]Source!AT2356</f>
        <v>70</v>
      </c>
      <c r="F2433" s="33"/>
      <c r="G2433" s="34"/>
      <c r="H2433" s="4"/>
      <c r="I2433" s="4"/>
      <c r="J2433" s="33">
        <f>SUM(AC2429:AC2432)</f>
        <v>-39778.699999999997</v>
      </c>
      <c r="K2433" s="33"/>
      <c r="M2433"/>
      <c r="N2433"/>
      <c r="O2433"/>
      <c r="P2433"/>
      <c r="Q2433"/>
    </row>
    <row r="2434" spans="1:43" ht="14.25" x14ac:dyDescent="0.2">
      <c r="A2434" s="31"/>
      <c r="B2434" s="31"/>
      <c r="C2434" s="31" t="s">
        <v>41</v>
      </c>
      <c r="D2434" s="32" t="s">
        <v>39</v>
      </c>
      <c r="E2434" s="4">
        <f>[1]Source!AU2356</f>
        <v>10</v>
      </c>
      <c r="F2434" s="33"/>
      <c r="G2434" s="34"/>
      <c r="H2434" s="4"/>
      <c r="I2434" s="4"/>
      <c r="J2434" s="33">
        <f>SUM(AE2429:AE2433)</f>
        <v>-5682.67</v>
      </c>
      <c r="K2434" s="33"/>
      <c r="M2434"/>
      <c r="N2434"/>
      <c r="O2434"/>
      <c r="P2434"/>
      <c r="Q2434"/>
    </row>
    <row r="2435" spans="1:43" ht="14.25" x14ac:dyDescent="0.2">
      <c r="A2435" s="31"/>
      <c r="B2435" s="31"/>
      <c r="C2435" s="31" t="s">
        <v>38</v>
      </c>
      <c r="D2435" s="32" t="s">
        <v>39</v>
      </c>
      <c r="E2435" s="4">
        <f>108</f>
        <v>108</v>
      </c>
      <c r="F2435" s="33"/>
      <c r="G2435" s="34"/>
      <c r="H2435" s="4"/>
      <c r="I2435" s="4"/>
      <c r="J2435" s="33">
        <f>SUM(AG2429:AG2434)</f>
        <v>-98493.54</v>
      </c>
      <c r="K2435" s="33"/>
      <c r="M2435"/>
      <c r="N2435"/>
      <c r="O2435"/>
      <c r="P2435"/>
      <c r="Q2435"/>
    </row>
    <row r="2436" spans="1:43" ht="14.25" x14ac:dyDescent="0.2">
      <c r="A2436" s="31"/>
      <c r="B2436" s="31"/>
      <c r="C2436" s="31" t="s">
        <v>42</v>
      </c>
      <c r="D2436" s="32" t="s">
        <v>43</v>
      </c>
      <c r="E2436" s="4">
        <f>[1]Source!AQ2356</f>
        <v>0.03</v>
      </c>
      <c r="F2436" s="33"/>
      <c r="G2436" s="34" t="str">
        <f>[1]Source!DI2356</f>
        <v>)*1</v>
      </c>
      <c r="H2436" s="4">
        <f>[1]Source!AV2356</f>
        <v>1</v>
      </c>
      <c r="I2436" s="4"/>
      <c r="J2436" s="33"/>
      <c r="K2436" s="33">
        <f>[1]Source!U2356</f>
        <v>-229.14</v>
      </c>
      <c r="M2436"/>
      <c r="N2436"/>
      <c r="O2436"/>
      <c r="P2436"/>
      <c r="Q2436"/>
    </row>
    <row r="2437" spans="1:43" ht="15" x14ac:dyDescent="0.25">
      <c r="A2437" s="35"/>
      <c r="B2437" s="35"/>
      <c r="C2437" s="35"/>
      <c r="D2437" s="35"/>
      <c r="E2437" s="35"/>
      <c r="F2437" s="35"/>
      <c r="G2437" s="35"/>
      <c r="H2437" s="35"/>
      <c r="I2437" s="36">
        <f>J2430+J2431+J2433+J2434+J2435</f>
        <v>-389669.36999999994</v>
      </c>
      <c r="J2437" s="36"/>
      <c r="K2437" s="37">
        <f>IF([1]Source!I2356&lt;&gt;0, ROUND(I2437/[1]Source!I2356, 2), 0)</f>
        <v>51.02</v>
      </c>
      <c r="M2437"/>
      <c r="N2437"/>
      <c r="O2437"/>
      <c r="P2437"/>
      <c r="Q2437"/>
      <c r="AA2437" s="38">
        <f>I2437</f>
        <v>-389669.36999999994</v>
      </c>
    </row>
    <row r="2438" spans="1:43" x14ac:dyDescent="0.2">
      <c r="M2438"/>
      <c r="N2438"/>
      <c r="O2438"/>
      <c r="P2438"/>
      <c r="Q2438"/>
    </row>
    <row r="2439" spans="1:43" ht="15" x14ac:dyDescent="0.25">
      <c r="A2439" s="42" t="str">
        <f>CONCATENATE("Итого по разделу: ",IF([1]Source!G2358&lt;&gt;"Новый раздел", [1]Source!G2358, ""))</f>
        <v>Итого по разделу: Сбор и перемещение снега и скола к месту временного размещения( 2025г.)</v>
      </c>
      <c r="B2439" s="42"/>
      <c r="C2439" s="42"/>
      <c r="D2439" s="42"/>
      <c r="E2439" s="42"/>
      <c r="F2439" s="42"/>
      <c r="G2439" s="42"/>
      <c r="H2439" s="42"/>
      <c r="I2439" s="43">
        <f>SUM(AA2365:AA2438)</f>
        <v>18913087.260000002</v>
      </c>
      <c r="J2439" s="44"/>
      <c r="K2439" s="47"/>
      <c r="L2439" s="38">
        <f>I2439</f>
        <v>18913087.260000002</v>
      </c>
      <c r="M2439" s="2">
        <f>ROUND(I2439*$I$4874,2)</f>
        <v>13659161.130000001</v>
      </c>
      <c r="N2439" s="2">
        <f>ROUND(M2439*1.2/105*100,2)</f>
        <v>15610469.859999999</v>
      </c>
      <c r="O2439" s="2">
        <f>ROUND(N2439*0.05,2)</f>
        <v>780523.49</v>
      </c>
      <c r="P2439" s="2">
        <f>N2439+O2439</f>
        <v>16390993.35</v>
      </c>
      <c r="Q2439" s="3">
        <v>68</v>
      </c>
      <c r="R2439">
        <v>2</v>
      </c>
      <c r="S2439" s="2">
        <v>0</v>
      </c>
      <c r="AQ2439" s="46" t="str">
        <f>CONCATENATE("Итого по разделу: ",IF([1]Source!G2358&lt;&gt;"Новый раздел", [1]Source!G2358, ""))</f>
        <v>Итого по разделу: Сбор и перемещение снега и скола к месту временного размещения( 2025г.)</v>
      </c>
    </row>
    <row r="2440" spans="1:43" x14ac:dyDescent="0.2">
      <c r="M2440"/>
      <c r="N2440"/>
      <c r="O2440"/>
      <c r="P2440"/>
      <c r="Q2440"/>
    </row>
    <row r="2441" spans="1:43" x14ac:dyDescent="0.2">
      <c r="M2441"/>
      <c r="N2441"/>
      <c r="O2441"/>
      <c r="P2441"/>
      <c r="Q2441"/>
    </row>
    <row r="2442" spans="1:43" ht="16.5" x14ac:dyDescent="0.25">
      <c r="A2442" s="29" t="str">
        <f>CONCATENATE("Раздел: ",IF([1]Source!G2388&lt;&gt;"Новый раздел", [1]Source!G2388, ""))</f>
        <v>Раздел: Сбор и перемещение снега и скола к месту временного размещения( 2026г.)</v>
      </c>
      <c r="B2442" s="29"/>
      <c r="C2442" s="29"/>
      <c r="D2442" s="29"/>
      <c r="E2442" s="29"/>
      <c r="F2442" s="29"/>
      <c r="G2442" s="29"/>
      <c r="H2442" s="29"/>
      <c r="I2442" s="29"/>
      <c r="J2442" s="29"/>
      <c r="K2442" s="29"/>
      <c r="M2442"/>
      <c r="N2442"/>
      <c r="O2442"/>
      <c r="P2442"/>
      <c r="Q2442"/>
    </row>
    <row r="2443" spans="1:43" ht="85.5" x14ac:dyDescent="0.2">
      <c r="A2443" s="31">
        <v>332</v>
      </c>
      <c r="B2443" s="31" t="str">
        <f>[1]Source!F2392</f>
        <v>5.3-1102-25-1/1</v>
      </c>
      <c r="C2443" s="31" t="str">
        <f>[1]Source!G2392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</c>
      <c r="D2443" s="32" t="str">
        <f>[1]Source!H2392</f>
        <v>м3</v>
      </c>
      <c r="E2443" s="4">
        <f>[1]Source!I2392</f>
        <v>3935.25</v>
      </c>
      <c r="F2443" s="33"/>
      <c r="G2443" s="34"/>
      <c r="H2443" s="4"/>
      <c r="I2443" s="4"/>
      <c r="J2443" s="33"/>
      <c r="K2443" s="33"/>
      <c r="M2443"/>
      <c r="N2443"/>
      <c r="O2443"/>
      <c r="P2443"/>
      <c r="Q2443"/>
      <c r="AB2443">
        <f>ROUND(([1]Source!BZ2392/100)*ROUND(([1]Source!AF2392*[1]Source!AV2392)*[1]Source!I2392, 2), 2)</f>
        <v>252686.34</v>
      </c>
      <c r="AC2443">
        <f>[1]Source!X2392</f>
        <v>252686.34</v>
      </c>
      <c r="AD2443">
        <f>ROUND(([1]Source!CA2392/100)*ROUND(([1]Source!AF2392*[1]Source!AV2392)*[1]Source!I2392, 2), 2)</f>
        <v>36098.050000000003</v>
      </c>
      <c r="AE2443">
        <f>[1]Source!Y2392</f>
        <v>36098.050000000003</v>
      </c>
      <c r="AF2443">
        <f>ROUND((175/100)*ROUND(([1]Source!AE2392*[1]Source!AV2392)*[1]Source!I2392, 2), 2)</f>
        <v>1271007.05</v>
      </c>
      <c r="AG2443">
        <f>ROUND((108/100)*ROUND([1]Source!CS2392*[1]Source!I2392, 2), 2)</f>
        <v>784392.92</v>
      </c>
    </row>
    <row r="2444" spans="1:43" ht="14.25" x14ac:dyDescent="0.2">
      <c r="A2444" s="31"/>
      <c r="B2444" s="31"/>
      <c r="C2444" s="31" t="s">
        <v>34</v>
      </c>
      <c r="D2444" s="32"/>
      <c r="E2444" s="4"/>
      <c r="F2444" s="33">
        <f>[1]Source!AO2392</f>
        <v>91.73</v>
      </c>
      <c r="G2444" s="34" t="str">
        <f>[1]Source!DG2392</f>
        <v>)*1</v>
      </c>
      <c r="H2444" s="4">
        <f>[1]Source!AV2392</f>
        <v>1</v>
      </c>
      <c r="I2444" s="4">
        <f>IF([1]Source!BA2392&lt;&gt; 0, [1]Source!BA2392, 1)</f>
        <v>1</v>
      </c>
      <c r="J2444" s="33">
        <f>[1]Source!S2392</f>
        <v>360980.47999999998</v>
      </c>
      <c r="K2444" s="33"/>
      <c r="M2444"/>
      <c r="N2444"/>
      <c r="O2444"/>
      <c r="P2444"/>
      <c r="Q2444"/>
    </row>
    <row r="2445" spans="1:43" ht="14.25" x14ac:dyDescent="0.2">
      <c r="A2445" s="31"/>
      <c r="B2445" s="31"/>
      <c r="C2445" s="31" t="s">
        <v>33</v>
      </c>
      <c r="D2445" s="32"/>
      <c r="E2445" s="4"/>
      <c r="F2445" s="33">
        <f>[1]Source!AM2392</f>
        <v>382.15</v>
      </c>
      <c r="G2445" s="34" t="str">
        <f>[1]Source!DE2392</f>
        <v>)*1</v>
      </c>
      <c r="H2445" s="4">
        <f>[1]Source!AV2392</f>
        <v>1</v>
      </c>
      <c r="I2445" s="4">
        <f>IF([1]Source!BB2392&lt;&gt; 0, [1]Source!BB2392, 1)</f>
        <v>1</v>
      </c>
      <c r="J2445" s="33">
        <f>[1]Source!Q2392</f>
        <v>1503855.79</v>
      </c>
      <c r="K2445" s="33"/>
      <c r="M2445"/>
      <c r="N2445"/>
      <c r="O2445"/>
      <c r="P2445"/>
      <c r="Q2445"/>
    </row>
    <row r="2446" spans="1:43" ht="14.25" x14ac:dyDescent="0.2">
      <c r="A2446" s="31"/>
      <c r="B2446" s="31"/>
      <c r="C2446" s="31" t="s">
        <v>37</v>
      </c>
      <c r="D2446" s="32"/>
      <c r="E2446" s="4"/>
      <c r="F2446" s="33">
        <f>[1]Source!AN2392</f>
        <v>184.56</v>
      </c>
      <c r="G2446" s="34" t="str">
        <f>[1]Source!DF2392</f>
        <v>)*1</v>
      </c>
      <c r="H2446" s="4">
        <f>[1]Source!AV2392</f>
        <v>1</v>
      </c>
      <c r="I2446" s="4">
        <f>IF([1]Source!BS2392&lt;&gt; 0, [1]Source!BS2392, 1)</f>
        <v>1</v>
      </c>
      <c r="J2446" s="41">
        <f>[1]Source!R2392</f>
        <v>726289.74</v>
      </c>
      <c r="K2446" s="33"/>
      <c r="M2446"/>
      <c r="N2446"/>
      <c r="O2446"/>
      <c r="P2446"/>
      <c r="Q2446"/>
    </row>
    <row r="2447" spans="1:43" ht="14.25" x14ac:dyDescent="0.2">
      <c r="A2447" s="31"/>
      <c r="B2447" s="31"/>
      <c r="C2447" s="31" t="s">
        <v>40</v>
      </c>
      <c r="D2447" s="32" t="s">
        <v>39</v>
      </c>
      <c r="E2447" s="4">
        <f>[1]Source!AT2392</f>
        <v>70</v>
      </c>
      <c r="F2447" s="33"/>
      <c r="G2447" s="34"/>
      <c r="H2447" s="4"/>
      <c r="I2447" s="4"/>
      <c r="J2447" s="33">
        <f>SUM(AC2443:AC2446)</f>
        <v>252686.34</v>
      </c>
      <c r="K2447" s="33"/>
      <c r="M2447"/>
      <c r="N2447"/>
      <c r="O2447"/>
      <c r="P2447"/>
      <c r="Q2447"/>
    </row>
    <row r="2448" spans="1:43" ht="14.25" x14ac:dyDescent="0.2">
      <c r="A2448" s="31"/>
      <c r="B2448" s="31"/>
      <c r="C2448" s="31" t="s">
        <v>41</v>
      </c>
      <c r="D2448" s="32" t="s">
        <v>39</v>
      </c>
      <c r="E2448" s="4">
        <f>[1]Source!AU2392</f>
        <v>10</v>
      </c>
      <c r="F2448" s="33"/>
      <c r="G2448" s="34"/>
      <c r="H2448" s="4"/>
      <c r="I2448" s="4"/>
      <c r="J2448" s="33">
        <f>SUM(AE2443:AE2447)</f>
        <v>36098.050000000003</v>
      </c>
      <c r="K2448" s="33"/>
      <c r="M2448"/>
      <c r="N2448"/>
      <c r="O2448"/>
      <c r="P2448"/>
      <c r="Q2448"/>
    </row>
    <row r="2449" spans="1:33" ht="14.25" x14ac:dyDescent="0.2">
      <c r="A2449" s="31"/>
      <c r="B2449" s="31"/>
      <c r="C2449" s="31" t="s">
        <v>38</v>
      </c>
      <c r="D2449" s="32" t="s">
        <v>39</v>
      </c>
      <c r="E2449" s="4">
        <f>108</f>
        <v>108</v>
      </c>
      <c r="F2449" s="33"/>
      <c r="G2449" s="34"/>
      <c r="H2449" s="4"/>
      <c r="I2449" s="4"/>
      <c r="J2449" s="33">
        <f>SUM(AG2443:AG2448)</f>
        <v>784392.92</v>
      </c>
      <c r="K2449" s="33"/>
      <c r="M2449"/>
      <c r="N2449"/>
      <c r="O2449"/>
      <c r="P2449"/>
      <c r="Q2449"/>
    </row>
    <row r="2450" spans="1:33" ht="14.25" x14ac:dyDescent="0.2">
      <c r="A2450" s="31"/>
      <c r="B2450" s="31"/>
      <c r="C2450" s="31" t="s">
        <v>42</v>
      </c>
      <c r="D2450" s="32" t="s">
        <v>43</v>
      </c>
      <c r="E2450" s="4">
        <f>[1]Source!AQ2392</f>
        <v>0.37</v>
      </c>
      <c r="F2450" s="33"/>
      <c r="G2450" s="34" t="str">
        <f>[1]Source!DI2392</f>
        <v>)*1</v>
      </c>
      <c r="H2450" s="4">
        <f>[1]Source!AV2392</f>
        <v>1</v>
      </c>
      <c r="I2450" s="4"/>
      <c r="J2450" s="33"/>
      <c r="K2450" s="33">
        <f>[1]Source!U2392</f>
        <v>1456.0425</v>
      </c>
      <c r="M2450"/>
      <c r="N2450"/>
      <c r="O2450"/>
      <c r="P2450"/>
      <c r="Q2450"/>
    </row>
    <row r="2451" spans="1:33" ht="15" x14ac:dyDescent="0.25">
      <c r="A2451" s="35"/>
      <c r="B2451" s="35"/>
      <c r="C2451" s="35"/>
      <c r="D2451" s="35"/>
      <c r="E2451" s="35"/>
      <c r="F2451" s="35"/>
      <c r="G2451" s="35"/>
      <c r="H2451" s="35"/>
      <c r="I2451" s="36">
        <f>J2444+J2445+J2447+J2448+J2449</f>
        <v>2938013.5799999996</v>
      </c>
      <c r="J2451" s="36"/>
      <c r="K2451" s="37">
        <f>IF([1]Source!I2392&lt;&gt;0, ROUND(I2451/[1]Source!I2392, 2), 0)</f>
        <v>746.59</v>
      </c>
      <c r="M2451"/>
      <c r="N2451"/>
      <c r="O2451"/>
      <c r="P2451"/>
      <c r="Q2451"/>
      <c r="AA2451" s="38">
        <f>I2451</f>
        <v>2938013.5799999996</v>
      </c>
    </row>
    <row r="2452" spans="1:33" ht="85.5" x14ac:dyDescent="0.2">
      <c r="A2452" s="31">
        <v>333</v>
      </c>
      <c r="B2452" s="31" t="str">
        <f>[1]Source!F2393</f>
        <v>5.3-1102-25-2/1</v>
      </c>
      <c r="C2452" s="31" t="str">
        <f>[1]Source!G2393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452" s="32" t="str">
        <f>[1]Source!H2393</f>
        <v>м3</v>
      </c>
      <c r="E2452" s="4">
        <f>[1]Source!I2393</f>
        <v>-3935.25</v>
      </c>
      <c r="F2452" s="33"/>
      <c r="G2452" s="34"/>
      <c r="H2452" s="4"/>
      <c r="I2452" s="4"/>
      <c r="J2452" s="33"/>
      <c r="K2452" s="33"/>
      <c r="M2452"/>
      <c r="N2452"/>
      <c r="O2452"/>
      <c r="P2452"/>
      <c r="Q2452"/>
      <c r="AB2452">
        <f>ROUND(([1]Source!BZ2393/100)*ROUND(([1]Source!AF2393*[1]Source!AV2393)*[1]Source!I2393, 2), 2)</f>
        <v>-81979.13</v>
      </c>
      <c r="AC2452">
        <f>[1]Source!X2393</f>
        <v>-81979.13</v>
      </c>
      <c r="AD2452">
        <f>ROUND(([1]Source!CA2393/100)*ROUND(([1]Source!AF2393*[1]Source!AV2393)*[1]Source!I2393, 2), 2)</f>
        <v>-11711.3</v>
      </c>
      <c r="AE2452">
        <f>[1]Source!Y2393</f>
        <v>-11711.3</v>
      </c>
      <c r="AF2452">
        <f>ROUND((175/100)*ROUND(([1]Source!AE2393*[1]Source!AV2393)*[1]Source!I2393, 2), 2)</f>
        <v>-328908.2</v>
      </c>
      <c r="AG2452">
        <f>ROUND((108/100)*ROUND([1]Source!CS2393*[1]Source!I2393, 2), 2)</f>
        <v>-202983.34</v>
      </c>
    </row>
    <row r="2453" spans="1:33" ht="14.25" x14ac:dyDescent="0.2">
      <c r="A2453" s="31"/>
      <c r="B2453" s="31"/>
      <c r="C2453" s="31" t="s">
        <v>34</v>
      </c>
      <c r="D2453" s="32"/>
      <c r="E2453" s="4"/>
      <c r="F2453" s="33">
        <f>[1]Source!AO2393</f>
        <v>7.44</v>
      </c>
      <c r="G2453" s="34" t="str">
        <f>[1]Source!DG2393</f>
        <v>)*4</v>
      </c>
      <c r="H2453" s="4">
        <f>[1]Source!AV2393</f>
        <v>1</v>
      </c>
      <c r="I2453" s="4">
        <f>IF([1]Source!BA2393&lt;&gt; 0, [1]Source!BA2393, 1)</f>
        <v>1</v>
      </c>
      <c r="J2453" s="33">
        <f>[1]Source!S2393</f>
        <v>-117113.04</v>
      </c>
      <c r="K2453" s="33"/>
      <c r="M2453"/>
      <c r="N2453"/>
      <c r="O2453"/>
      <c r="P2453"/>
      <c r="Q2453"/>
    </row>
    <row r="2454" spans="1:33" ht="14.25" x14ac:dyDescent="0.2">
      <c r="A2454" s="31"/>
      <c r="B2454" s="31"/>
      <c r="C2454" s="31" t="s">
        <v>33</v>
      </c>
      <c r="D2454" s="32"/>
      <c r="E2454" s="4"/>
      <c r="F2454" s="33">
        <f>[1]Source!AM2393</f>
        <v>24.73</v>
      </c>
      <c r="G2454" s="34" t="str">
        <f>[1]Source!DE2393</f>
        <v>)*4</v>
      </c>
      <c r="H2454" s="4">
        <f>[1]Source!AV2393</f>
        <v>1</v>
      </c>
      <c r="I2454" s="4">
        <f>IF([1]Source!BB2393&lt;&gt; 0, [1]Source!BB2393, 1)</f>
        <v>1</v>
      </c>
      <c r="J2454" s="33">
        <f>[1]Source!Q2393</f>
        <v>-389274.93</v>
      </c>
      <c r="K2454" s="33"/>
      <c r="M2454"/>
      <c r="N2454"/>
      <c r="O2454"/>
      <c r="P2454"/>
      <c r="Q2454"/>
    </row>
    <row r="2455" spans="1:33" ht="14.25" x14ac:dyDescent="0.2">
      <c r="A2455" s="31"/>
      <c r="B2455" s="31"/>
      <c r="C2455" s="31" t="s">
        <v>37</v>
      </c>
      <c r="D2455" s="32"/>
      <c r="E2455" s="4"/>
      <c r="F2455" s="33">
        <f>[1]Source!AN2393</f>
        <v>11.94</v>
      </c>
      <c r="G2455" s="34" t="str">
        <f>[1]Source!DF2393</f>
        <v>)*4</v>
      </c>
      <c r="H2455" s="4">
        <f>[1]Source!AV2393</f>
        <v>1</v>
      </c>
      <c r="I2455" s="4">
        <f>IF([1]Source!BS2393&lt;&gt; 0, [1]Source!BS2393, 1)</f>
        <v>1</v>
      </c>
      <c r="J2455" s="41">
        <f>[1]Source!R2393</f>
        <v>-187947.54</v>
      </c>
      <c r="K2455" s="33"/>
      <c r="M2455"/>
      <c r="N2455"/>
      <c r="O2455"/>
      <c r="P2455"/>
      <c r="Q2455"/>
    </row>
    <row r="2456" spans="1:33" ht="14.25" x14ac:dyDescent="0.2">
      <c r="A2456" s="31"/>
      <c r="B2456" s="31"/>
      <c r="C2456" s="31" t="s">
        <v>40</v>
      </c>
      <c r="D2456" s="32" t="s">
        <v>39</v>
      </c>
      <c r="E2456" s="4">
        <f>[1]Source!AT2393</f>
        <v>70</v>
      </c>
      <c r="F2456" s="33"/>
      <c r="G2456" s="34"/>
      <c r="H2456" s="4"/>
      <c r="I2456" s="4"/>
      <c r="J2456" s="33">
        <f>SUM(AC2452:AC2455)</f>
        <v>-81979.13</v>
      </c>
      <c r="K2456" s="33"/>
      <c r="M2456"/>
      <c r="N2456"/>
      <c r="O2456"/>
      <c r="P2456"/>
      <c r="Q2456"/>
    </row>
    <row r="2457" spans="1:33" ht="14.25" x14ac:dyDescent="0.2">
      <c r="A2457" s="31"/>
      <c r="B2457" s="31"/>
      <c r="C2457" s="31" t="s">
        <v>41</v>
      </c>
      <c r="D2457" s="32" t="s">
        <v>39</v>
      </c>
      <c r="E2457" s="4">
        <f>[1]Source!AU2393</f>
        <v>10</v>
      </c>
      <c r="F2457" s="33"/>
      <c r="G2457" s="34"/>
      <c r="H2457" s="4"/>
      <c r="I2457" s="4"/>
      <c r="J2457" s="33">
        <f>SUM(AE2452:AE2456)</f>
        <v>-11711.3</v>
      </c>
      <c r="K2457" s="33"/>
      <c r="M2457"/>
      <c r="N2457"/>
      <c r="O2457"/>
      <c r="P2457"/>
      <c r="Q2457"/>
    </row>
    <row r="2458" spans="1:33" ht="14.25" x14ac:dyDescent="0.2">
      <c r="A2458" s="31"/>
      <c r="B2458" s="31"/>
      <c r="C2458" s="31" t="s">
        <v>38</v>
      </c>
      <c r="D2458" s="32" t="s">
        <v>39</v>
      </c>
      <c r="E2458" s="4">
        <f>108</f>
        <v>108</v>
      </c>
      <c r="F2458" s="33"/>
      <c r="G2458" s="34"/>
      <c r="H2458" s="4"/>
      <c r="I2458" s="4"/>
      <c r="J2458" s="33">
        <f>SUM(AG2452:AG2457)</f>
        <v>-202983.34</v>
      </c>
      <c r="K2458" s="33"/>
      <c r="M2458"/>
      <c r="N2458"/>
      <c r="O2458"/>
      <c r="P2458"/>
      <c r="Q2458"/>
    </row>
    <row r="2459" spans="1:33" ht="14.25" x14ac:dyDescent="0.2">
      <c r="A2459" s="31"/>
      <c r="B2459" s="31"/>
      <c r="C2459" s="31" t="s">
        <v>42</v>
      </c>
      <c r="D2459" s="32" t="s">
        <v>43</v>
      </c>
      <c r="E2459" s="4">
        <f>[1]Source!AQ2393</f>
        <v>0.03</v>
      </c>
      <c r="F2459" s="33"/>
      <c r="G2459" s="34" t="str">
        <f>[1]Source!DI2393</f>
        <v>)*4</v>
      </c>
      <c r="H2459" s="4">
        <f>[1]Source!AV2393</f>
        <v>1</v>
      </c>
      <c r="I2459" s="4"/>
      <c r="J2459" s="33"/>
      <c r="K2459" s="33">
        <f>[1]Source!U2393</f>
        <v>-472.22999999999996</v>
      </c>
      <c r="M2459"/>
      <c r="N2459"/>
      <c r="O2459"/>
      <c r="P2459"/>
      <c r="Q2459"/>
    </row>
    <row r="2460" spans="1:33" ht="15" x14ac:dyDescent="0.25">
      <c r="A2460" s="35"/>
      <c r="B2460" s="35"/>
      <c r="C2460" s="35"/>
      <c r="D2460" s="35"/>
      <c r="E2460" s="35"/>
      <c r="F2460" s="35"/>
      <c r="G2460" s="35"/>
      <c r="H2460" s="35"/>
      <c r="I2460" s="36">
        <f>J2453+J2454+J2456+J2457+J2458</f>
        <v>-803061.74</v>
      </c>
      <c r="J2460" s="36"/>
      <c r="K2460" s="37">
        <f>IF([1]Source!I2393&lt;&gt;0, ROUND(I2460/[1]Source!I2393, 2), 0)</f>
        <v>204.07</v>
      </c>
      <c r="M2460"/>
      <c r="N2460"/>
      <c r="O2460"/>
      <c r="P2460"/>
      <c r="Q2460"/>
      <c r="AA2460" s="38">
        <f>I2460</f>
        <v>-803061.74</v>
      </c>
    </row>
    <row r="2461" spans="1:33" ht="85.5" x14ac:dyDescent="0.2">
      <c r="A2461" s="31">
        <v>334</v>
      </c>
      <c r="B2461" s="31" t="str">
        <f>[1]Source!F2394</f>
        <v>5.3-1102-25-1/1</v>
      </c>
      <c r="C2461" s="31" t="str">
        <f>[1]Source!G2394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</c>
      <c r="D2461" s="32" t="str">
        <f>[1]Source!H2394</f>
        <v>м3</v>
      </c>
      <c r="E2461" s="4">
        <f>[1]Source!I2394</f>
        <v>3935.25</v>
      </c>
      <c r="F2461" s="33"/>
      <c r="G2461" s="34"/>
      <c r="H2461" s="4"/>
      <c r="I2461" s="4"/>
      <c r="J2461" s="33"/>
      <c r="K2461" s="33"/>
      <c r="M2461"/>
      <c r="N2461"/>
      <c r="O2461"/>
      <c r="P2461"/>
      <c r="Q2461"/>
      <c r="AB2461">
        <f>ROUND(([1]Source!BZ2394/100)*ROUND(([1]Source!AF2394*[1]Source!AV2394)*[1]Source!I2394, 2), 2)</f>
        <v>252686.34</v>
      </c>
      <c r="AC2461">
        <f>[1]Source!X2394</f>
        <v>252686.34</v>
      </c>
      <c r="AD2461">
        <f>ROUND(([1]Source!CA2394/100)*ROUND(([1]Source!AF2394*[1]Source!AV2394)*[1]Source!I2394, 2), 2)</f>
        <v>36098.050000000003</v>
      </c>
      <c r="AE2461">
        <f>[1]Source!Y2394</f>
        <v>36098.050000000003</v>
      </c>
      <c r="AF2461">
        <f>ROUND((175/100)*ROUND(([1]Source!AE2394*[1]Source!AV2394)*[1]Source!I2394, 2), 2)</f>
        <v>1271007.05</v>
      </c>
      <c r="AG2461">
        <f>ROUND((108/100)*ROUND([1]Source!CS2394*[1]Source!I2394, 2), 2)</f>
        <v>784392.92</v>
      </c>
    </row>
    <row r="2462" spans="1:33" ht="14.25" x14ac:dyDescent="0.2">
      <c r="A2462" s="31"/>
      <c r="B2462" s="31"/>
      <c r="C2462" s="31" t="s">
        <v>34</v>
      </c>
      <c r="D2462" s="32"/>
      <c r="E2462" s="4"/>
      <c r="F2462" s="33">
        <f>[1]Source!AO2394</f>
        <v>91.73</v>
      </c>
      <c r="G2462" s="34" t="str">
        <f>[1]Source!DG2394</f>
        <v>)*1</v>
      </c>
      <c r="H2462" s="4">
        <f>[1]Source!AV2394</f>
        <v>1</v>
      </c>
      <c r="I2462" s="4">
        <f>IF([1]Source!BA2394&lt;&gt; 0, [1]Source!BA2394, 1)</f>
        <v>1</v>
      </c>
      <c r="J2462" s="33">
        <f>[1]Source!S2394</f>
        <v>360980.47999999998</v>
      </c>
      <c r="K2462" s="33"/>
      <c r="M2462"/>
      <c r="N2462"/>
      <c r="O2462"/>
      <c r="P2462"/>
      <c r="Q2462"/>
    </row>
    <row r="2463" spans="1:33" ht="14.25" x14ac:dyDescent="0.2">
      <c r="A2463" s="31"/>
      <c r="B2463" s="31"/>
      <c r="C2463" s="31" t="s">
        <v>33</v>
      </c>
      <c r="D2463" s="32"/>
      <c r="E2463" s="4"/>
      <c r="F2463" s="33">
        <f>[1]Source!AM2394</f>
        <v>382.15</v>
      </c>
      <c r="G2463" s="34" t="str">
        <f>[1]Source!DE2394</f>
        <v>)*1</v>
      </c>
      <c r="H2463" s="4">
        <f>[1]Source!AV2394</f>
        <v>1</v>
      </c>
      <c r="I2463" s="4">
        <f>IF([1]Source!BB2394&lt;&gt; 0, [1]Source!BB2394, 1)</f>
        <v>1</v>
      </c>
      <c r="J2463" s="33">
        <f>[1]Source!Q2394</f>
        <v>1503855.79</v>
      </c>
      <c r="K2463" s="33"/>
      <c r="M2463"/>
      <c r="N2463"/>
      <c r="O2463"/>
      <c r="P2463"/>
      <c r="Q2463"/>
    </row>
    <row r="2464" spans="1:33" ht="14.25" x14ac:dyDescent="0.2">
      <c r="A2464" s="31"/>
      <c r="B2464" s="31"/>
      <c r="C2464" s="31" t="s">
        <v>37</v>
      </c>
      <c r="D2464" s="32"/>
      <c r="E2464" s="4"/>
      <c r="F2464" s="33">
        <f>[1]Source!AN2394</f>
        <v>184.56</v>
      </c>
      <c r="G2464" s="34" t="str">
        <f>[1]Source!DF2394</f>
        <v>)*1</v>
      </c>
      <c r="H2464" s="4">
        <f>[1]Source!AV2394</f>
        <v>1</v>
      </c>
      <c r="I2464" s="4">
        <f>IF([1]Source!BS2394&lt;&gt; 0, [1]Source!BS2394, 1)</f>
        <v>1</v>
      </c>
      <c r="J2464" s="41">
        <f>[1]Source!R2394</f>
        <v>726289.74</v>
      </c>
      <c r="K2464" s="33"/>
      <c r="M2464"/>
      <c r="N2464"/>
      <c r="O2464"/>
      <c r="P2464"/>
      <c r="Q2464"/>
    </row>
    <row r="2465" spans="1:33" ht="14.25" x14ac:dyDescent="0.2">
      <c r="A2465" s="31"/>
      <c r="B2465" s="31"/>
      <c r="C2465" s="31" t="s">
        <v>40</v>
      </c>
      <c r="D2465" s="32" t="s">
        <v>39</v>
      </c>
      <c r="E2465" s="4">
        <f>[1]Source!AT2394</f>
        <v>70</v>
      </c>
      <c r="F2465" s="33"/>
      <c r="G2465" s="34"/>
      <c r="H2465" s="4"/>
      <c r="I2465" s="4"/>
      <c r="J2465" s="33">
        <f>SUM(AC2461:AC2464)</f>
        <v>252686.34</v>
      </c>
      <c r="K2465" s="33"/>
      <c r="M2465"/>
      <c r="N2465"/>
      <c r="O2465"/>
      <c r="P2465"/>
      <c r="Q2465"/>
    </row>
    <row r="2466" spans="1:33" ht="14.25" x14ac:dyDescent="0.2">
      <c r="A2466" s="31"/>
      <c r="B2466" s="31"/>
      <c r="C2466" s="31" t="s">
        <v>41</v>
      </c>
      <c r="D2466" s="32" t="s">
        <v>39</v>
      </c>
      <c r="E2466" s="4">
        <f>[1]Source!AU2394</f>
        <v>10</v>
      </c>
      <c r="F2466" s="33"/>
      <c r="G2466" s="34"/>
      <c r="H2466" s="4"/>
      <c r="I2466" s="4"/>
      <c r="J2466" s="33">
        <f>SUM(AE2461:AE2465)</f>
        <v>36098.050000000003</v>
      </c>
      <c r="K2466" s="33"/>
      <c r="M2466"/>
      <c r="N2466"/>
      <c r="O2466"/>
      <c r="P2466"/>
      <c r="Q2466"/>
    </row>
    <row r="2467" spans="1:33" ht="14.25" x14ac:dyDescent="0.2">
      <c r="A2467" s="31"/>
      <c r="B2467" s="31"/>
      <c r="C2467" s="31" t="s">
        <v>38</v>
      </c>
      <c r="D2467" s="32" t="s">
        <v>39</v>
      </c>
      <c r="E2467" s="4">
        <f>108</f>
        <v>108</v>
      </c>
      <c r="F2467" s="33"/>
      <c r="G2467" s="34"/>
      <c r="H2467" s="4"/>
      <c r="I2467" s="4"/>
      <c r="J2467" s="33">
        <f>SUM(AG2461:AG2466)</f>
        <v>784392.92</v>
      </c>
      <c r="K2467" s="33"/>
      <c r="M2467"/>
      <c r="N2467"/>
      <c r="O2467"/>
      <c r="P2467"/>
      <c r="Q2467"/>
    </row>
    <row r="2468" spans="1:33" ht="14.25" x14ac:dyDescent="0.2">
      <c r="A2468" s="31"/>
      <c r="B2468" s="31"/>
      <c r="C2468" s="31" t="s">
        <v>42</v>
      </c>
      <c r="D2468" s="32" t="s">
        <v>43</v>
      </c>
      <c r="E2468" s="4">
        <f>[1]Source!AQ2394</f>
        <v>0.37</v>
      </c>
      <c r="F2468" s="33"/>
      <c r="G2468" s="34" t="str">
        <f>[1]Source!DI2394</f>
        <v>)*1</v>
      </c>
      <c r="H2468" s="4">
        <f>[1]Source!AV2394</f>
        <v>1</v>
      </c>
      <c r="I2468" s="4"/>
      <c r="J2468" s="33"/>
      <c r="K2468" s="33">
        <f>[1]Source!U2394</f>
        <v>1456.0425</v>
      </c>
      <c r="M2468"/>
      <c r="N2468"/>
      <c r="O2468"/>
      <c r="P2468"/>
      <c r="Q2468"/>
    </row>
    <row r="2469" spans="1:33" ht="15" x14ac:dyDescent="0.25">
      <c r="A2469" s="35"/>
      <c r="B2469" s="35"/>
      <c r="C2469" s="35"/>
      <c r="D2469" s="35"/>
      <c r="E2469" s="35"/>
      <c r="F2469" s="35"/>
      <c r="G2469" s="35"/>
      <c r="H2469" s="35"/>
      <c r="I2469" s="36">
        <f>J2462+J2463+J2465+J2466+J2467</f>
        <v>2938013.5799999996</v>
      </c>
      <c r="J2469" s="36"/>
      <c r="K2469" s="37">
        <f>IF([1]Source!I2394&lt;&gt;0, ROUND(I2469/[1]Source!I2394, 2), 0)</f>
        <v>746.59</v>
      </c>
      <c r="M2469"/>
      <c r="N2469"/>
      <c r="O2469"/>
      <c r="P2469"/>
      <c r="Q2469"/>
      <c r="AA2469" s="38">
        <f>I2469</f>
        <v>2938013.5799999996</v>
      </c>
    </row>
    <row r="2470" spans="1:33" ht="85.5" x14ac:dyDescent="0.2">
      <c r="A2470" s="31">
        <v>335</v>
      </c>
      <c r="B2470" s="31" t="str">
        <f>[1]Source!F2395</f>
        <v>5.3-1102-25-2/1</v>
      </c>
      <c r="C2470" s="31" t="str">
        <f>[1]Source!G2395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470" s="32" t="str">
        <f>[1]Source!H2395</f>
        <v>м3</v>
      </c>
      <c r="E2470" s="4">
        <f>[1]Source!I2395</f>
        <v>-3935.25</v>
      </c>
      <c r="F2470" s="33"/>
      <c r="G2470" s="34"/>
      <c r="H2470" s="4"/>
      <c r="I2470" s="4"/>
      <c r="J2470" s="33"/>
      <c r="K2470" s="33"/>
      <c r="M2470"/>
      <c r="N2470"/>
      <c r="O2470"/>
      <c r="P2470"/>
      <c r="Q2470"/>
      <c r="AB2470">
        <f>ROUND(([1]Source!BZ2395/100)*ROUND(([1]Source!AF2395*[1]Source!AV2395)*[1]Source!I2395, 2), 2)</f>
        <v>-61484.35</v>
      </c>
      <c r="AC2470">
        <f>[1]Source!X2395</f>
        <v>-61484.35</v>
      </c>
      <c r="AD2470">
        <f>ROUND(([1]Source!CA2395/100)*ROUND(([1]Source!AF2395*[1]Source!AV2395)*[1]Source!I2395, 2), 2)</f>
        <v>-8783.48</v>
      </c>
      <c r="AE2470">
        <f>[1]Source!Y2395</f>
        <v>-8783.48</v>
      </c>
      <c r="AF2470">
        <f>ROUND((175/100)*ROUND(([1]Source!AE2395*[1]Source!AV2395)*[1]Source!I2395, 2), 2)</f>
        <v>-246681.16</v>
      </c>
      <c r="AG2470">
        <f>ROUND((108/100)*ROUND([1]Source!CS2395*[1]Source!I2395, 2), 2)</f>
        <v>-152237.51</v>
      </c>
    </row>
    <row r="2471" spans="1:33" ht="14.25" x14ac:dyDescent="0.2">
      <c r="A2471" s="31"/>
      <c r="B2471" s="31"/>
      <c r="C2471" s="31" t="s">
        <v>34</v>
      </c>
      <c r="D2471" s="32"/>
      <c r="E2471" s="4"/>
      <c r="F2471" s="33">
        <f>[1]Source!AO2395</f>
        <v>7.44</v>
      </c>
      <c r="G2471" s="34" t="str">
        <f>[1]Source!DG2395</f>
        <v>)*3</v>
      </c>
      <c r="H2471" s="4">
        <f>[1]Source!AV2395</f>
        <v>1</v>
      </c>
      <c r="I2471" s="4">
        <f>IF([1]Source!BA2395&lt;&gt; 0, [1]Source!BA2395, 1)</f>
        <v>1</v>
      </c>
      <c r="J2471" s="33">
        <f>[1]Source!S2395</f>
        <v>-87834.78</v>
      </c>
      <c r="K2471" s="33"/>
      <c r="M2471"/>
      <c r="N2471"/>
      <c r="O2471"/>
      <c r="P2471"/>
      <c r="Q2471"/>
    </row>
    <row r="2472" spans="1:33" ht="14.25" x14ac:dyDescent="0.2">
      <c r="A2472" s="31"/>
      <c r="B2472" s="31"/>
      <c r="C2472" s="31" t="s">
        <v>33</v>
      </c>
      <c r="D2472" s="32"/>
      <c r="E2472" s="4"/>
      <c r="F2472" s="33">
        <f>[1]Source!AM2395</f>
        <v>24.73</v>
      </c>
      <c r="G2472" s="34" t="str">
        <f>[1]Source!DE2395</f>
        <v>)*3</v>
      </c>
      <c r="H2472" s="4">
        <f>[1]Source!AV2395</f>
        <v>1</v>
      </c>
      <c r="I2472" s="4">
        <f>IF([1]Source!BB2395&lt;&gt; 0, [1]Source!BB2395, 1)</f>
        <v>1</v>
      </c>
      <c r="J2472" s="33">
        <f>[1]Source!Q2395</f>
        <v>-291956.2</v>
      </c>
      <c r="K2472" s="33"/>
      <c r="M2472"/>
      <c r="N2472"/>
      <c r="O2472"/>
      <c r="P2472"/>
      <c r="Q2472"/>
    </row>
    <row r="2473" spans="1:33" ht="14.25" x14ac:dyDescent="0.2">
      <c r="A2473" s="31"/>
      <c r="B2473" s="31"/>
      <c r="C2473" s="31" t="s">
        <v>37</v>
      </c>
      <c r="D2473" s="32"/>
      <c r="E2473" s="4"/>
      <c r="F2473" s="33">
        <f>[1]Source!AN2395</f>
        <v>11.94</v>
      </c>
      <c r="G2473" s="34" t="str">
        <f>[1]Source!DF2395</f>
        <v>)*3</v>
      </c>
      <c r="H2473" s="4">
        <f>[1]Source!AV2395</f>
        <v>1</v>
      </c>
      <c r="I2473" s="4">
        <f>IF([1]Source!BS2395&lt;&gt; 0, [1]Source!BS2395, 1)</f>
        <v>1</v>
      </c>
      <c r="J2473" s="41">
        <f>[1]Source!R2395</f>
        <v>-140960.66</v>
      </c>
      <c r="K2473" s="33"/>
      <c r="M2473"/>
      <c r="N2473"/>
      <c r="O2473"/>
      <c r="P2473"/>
      <c r="Q2473"/>
    </row>
    <row r="2474" spans="1:33" ht="14.25" x14ac:dyDescent="0.2">
      <c r="A2474" s="31"/>
      <c r="B2474" s="31"/>
      <c r="C2474" s="31" t="s">
        <v>40</v>
      </c>
      <c r="D2474" s="32" t="s">
        <v>39</v>
      </c>
      <c r="E2474" s="4">
        <f>[1]Source!AT2395</f>
        <v>70</v>
      </c>
      <c r="F2474" s="33"/>
      <c r="G2474" s="34"/>
      <c r="H2474" s="4"/>
      <c r="I2474" s="4"/>
      <c r="J2474" s="33">
        <f>SUM(AC2470:AC2473)</f>
        <v>-61484.35</v>
      </c>
      <c r="K2474" s="33"/>
      <c r="M2474"/>
      <c r="N2474"/>
      <c r="O2474"/>
      <c r="P2474"/>
      <c r="Q2474"/>
    </row>
    <row r="2475" spans="1:33" ht="14.25" x14ac:dyDescent="0.2">
      <c r="A2475" s="31"/>
      <c r="B2475" s="31"/>
      <c r="C2475" s="31" t="s">
        <v>41</v>
      </c>
      <c r="D2475" s="32" t="s">
        <v>39</v>
      </c>
      <c r="E2475" s="4">
        <f>[1]Source!AU2395</f>
        <v>10</v>
      </c>
      <c r="F2475" s="33"/>
      <c r="G2475" s="34"/>
      <c r="H2475" s="4"/>
      <c r="I2475" s="4"/>
      <c r="J2475" s="33">
        <f>SUM(AE2470:AE2474)</f>
        <v>-8783.48</v>
      </c>
      <c r="K2475" s="33"/>
      <c r="M2475"/>
      <c r="N2475"/>
      <c r="O2475"/>
      <c r="P2475"/>
      <c r="Q2475"/>
    </row>
    <row r="2476" spans="1:33" ht="14.25" x14ac:dyDescent="0.2">
      <c r="A2476" s="31"/>
      <c r="B2476" s="31"/>
      <c r="C2476" s="31" t="s">
        <v>38</v>
      </c>
      <c r="D2476" s="32" t="s">
        <v>39</v>
      </c>
      <c r="E2476" s="4">
        <f>108</f>
        <v>108</v>
      </c>
      <c r="F2476" s="33"/>
      <c r="G2476" s="34"/>
      <c r="H2476" s="4"/>
      <c r="I2476" s="4"/>
      <c r="J2476" s="33">
        <f>SUM(AG2470:AG2475)</f>
        <v>-152237.51</v>
      </c>
      <c r="K2476" s="33"/>
      <c r="M2476"/>
      <c r="N2476"/>
      <c r="O2476"/>
      <c r="P2476"/>
      <c r="Q2476"/>
    </row>
    <row r="2477" spans="1:33" ht="14.25" x14ac:dyDescent="0.2">
      <c r="A2477" s="31"/>
      <c r="B2477" s="31"/>
      <c r="C2477" s="31" t="s">
        <v>42</v>
      </c>
      <c r="D2477" s="32" t="s">
        <v>43</v>
      </c>
      <c r="E2477" s="4">
        <f>[1]Source!AQ2395</f>
        <v>0.03</v>
      </c>
      <c r="F2477" s="33"/>
      <c r="G2477" s="34" t="str">
        <f>[1]Source!DI2395</f>
        <v>)*3</v>
      </c>
      <c r="H2477" s="4">
        <f>[1]Source!AV2395</f>
        <v>1</v>
      </c>
      <c r="I2477" s="4"/>
      <c r="J2477" s="33"/>
      <c r="K2477" s="33">
        <f>[1]Source!U2395</f>
        <v>-354.17250000000001</v>
      </c>
      <c r="M2477"/>
      <c r="N2477"/>
      <c r="O2477"/>
      <c r="P2477"/>
      <c r="Q2477"/>
    </row>
    <row r="2478" spans="1:33" ht="15" x14ac:dyDescent="0.25">
      <c r="A2478" s="35"/>
      <c r="B2478" s="35"/>
      <c r="C2478" s="35"/>
      <c r="D2478" s="35"/>
      <c r="E2478" s="35"/>
      <c r="F2478" s="35"/>
      <c r="G2478" s="35"/>
      <c r="H2478" s="35"/>
      <c r="I2478" s="36">
        <f>J2471+J2472+J2474+J2475+J2476</f>
        <v>-602296.31999999995</v>
      </c>
      <c r="J2478" s="36"/>
      <c r="K2478" s="37">
        <f>IF([1]Source!I2395&lt;&gt;0, ROUND(I2478/[1]Source!I2395, 2), 0)</f>
        <v>153.05000000000001</v>
      </c>
      <c r="M2478"/>
      <c r="N2478"/>
      <c r="O2478"/>
      <c r="P2478"/>
      <c r="Q2478"/>
      <c r="AA2478" s="38">
        <f>I2478</f>
        <v>-602296.31999999995</v>
      </c>
    </row>
    <row r="2479" spans="1:33" ht="85.5" x14ac:dyDescent="0.2">
      <c r="A2479" s="31">
        <v>336</v>
      </c>
      <c r="B2479" s="31" t="str">
        <f>[1]Source!F2396</f>
        <v>5.3-1102-25-1/1</v>
      </c>
      <c r="C2479" s="31" t="str">
        <f>[1]Source!G2396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</c>
      <c r="D2479" s="32" t="str">
        <f>[1]Source!H2396</f>
        <v>м3</v>
      </c>
      <c r="E2479" s="4">
        <f>[1]Source!I2396</f>
        <v>3935.25</v>
      </c>
      <c r="F2479" s="33"/>
      <c r="G2479" s="34"/>
      <c r="H2479" s="4"/>
      <c r="I2479" s="4"/>
      <c r="J2479" s="33"/>
      <c r="K2479" s="33"/>
      <c r="M2479"/>
      <c r="N2479"/>
      <c r="O2479"/>
      <c r="P2479"/>
      <c r="Q2479"/>
      <c r="AB2479">
        <f>ROUND(([1]Source!BZ2396/100)*ROUND(([1]Source!AF2396*[1]Source!AV2396)*[1]Source!I2396, 2), 2)</f>
        <v>252686.34</v>
      </c>
      <c r="AC2479">
        <f>[1]Source!X2396</f>
        <v>252686.34</v>
      </c>
      <c r="AD2479">
        <f>ROUND(([1]Source!CA2396/100)*ROUND(([1]Source!AF2396*[1]Source!AV2396)*[1]Source!I2396, 2), 2)</f>
        <v>36098.050000000003</v>
      </c>
      <c r="AE2479">
        <f>[1]Source!Y2396</f>
        <v>36098.050000000003</v>
      </c>
      <c r="AF2479">
        <f>ROUND((175/100)*ROUND(([1]Source!AE2396*[1]Source!AV2396)*[1]Source!I2396, 2), 2)</f>
        <v>1271007.05</v>
      </c>
      <c r="AG2479">
        <f>ROUND((108/100)*ROUND([1]Source!CS2396*[1]Source!I2396, 2), 2)</f>
        <v>784392.92</v>
      </c>
    </row>
    <row r="2480" spans="1:33" ht="14.25" x14ac:dyDescent="0.2">
      <c r="A2480" s="31"/>
      <c r="B2480" s="31"/>
      <c r="C2480" s="31" t="s">
        <v>34</v>
      </c>
      <c r="D2480" s="32"/>
      <c r="E2480" s="4"/>
      <c r="F2480" s="33">
        <f>[1]Source!AO2396</f>
        <v>91.73</v>
      </c>
      <c r="G2480" s="34" t="str">
        <f>[1]Source!DG2396</f>
        <v>)*1</v>
      </c>
      <c r="H2480" s="4">
        <f>[1]Source!AV2396</f>
        <v>1</v>
      </c>
      <c r="I2480" s="4">
        <f>IF([1]Source!BA2396&lt;&gt; 0, [1]Source!BA2396, 1)</f>
        <v>1</v>
      </c>
      <c r="J2480" s="33">
        <f>[1]Source!S2396</f>
        <v>360980.47999999998</v>
      </c>
      <c r="K2480" s="33"/>
      <c r="M2480"/>
      <c r="N2480"/>
      <c r="O2480"/>
      <c r="P2480"/>
      <c r="Q2480"/>
    </row>
    <row r="2481" spans="1:33" ht="14.25" x14ac:dyDescent="0.2">
      <c r="A2481" s="31"/>
      <c r="B2481" s="31"/>
      <c r="C2481" s="31" t="s">
        <v>33</v>
      </c>
      <c r="D2481" s="32"/>
      <c r="E2481" s="4"/>
      <c r="F2481" s="33">
        <f>[1]Source!AM2396</f>
        <v>382.15</v>
      </c>
      <c r="G2481" s="34" t="str">
        <f>[1]Source!DE2396</f>
        <v>)*1</v>
      </c>
      <c r="H2481" s="4">
        <f>[1]Source!AV2396</f>
        <v>1</v>
      </c>
      <c r="I2481" s="4">
        <f>IF([1]Source!BB2396&lt;&gt; 0, [1]Source!BB2396, 1)</f>
        <v>1</v>
      </c>
      <c r="J2481" s="33">
        <f>[1]Source!Q2396</f>
        <v>1503855.79</v>
      </c>
      <c r="K2481" s="33"/>
      <c r="M2481"/>
      <c r="N2481"/>
      <c r="O2481"/>
      <c r="P2481"/>
      <c r="Q2481"/>
    </row>
    <row r="2482" spans="1:33" ht="14.25" x14ac:dyDescent="0.2">
      <c r="A2482" s="31"/>
      <c r="B2482" s="31"/>
      <c r="C2482" s="31" t="s">
        <v>37</v>
      </c>
      <c r="D2482" s="32"/>
      <c r="E2482" s="4"/>
      <c r="F2482" s="33">
        <f>[1]Source!AN2396</f>
        <v>184.56</v>
      </c>
      <c r="G2482" s="34" t="str">
        <f>[1]Source!DF2396</f>
        <v>)*1</v>
      </c>
      <c r="H2482" s="4">
        <f>[1]Source!AV2396</f>
        <v>1</v>
      </c>
      <c r="I2482" s="4">
        <f>IF([1]Source!BS2396&lt;&gt; 0, [1]Source!BS2396, 1)</f>
        <v>1</v>
      </c>
      <c r="J2482" s="41">
        <f>[1]Source!R2396</f>
        <v>726289.74</v>
      </c>
      <c r="K2482" s="33"/>
      <c r="M2482"/>
      <c r="N2482"/>
      <c r="O2482"/>
      <c r="P2482"/>
      <c r="Q2482"/>
    </row>
    <row r="2483" spans="1:33" ht="14.25" x14ac:dyDescent="0.2">
      <c r="A2483" s="31"/>
      <c r="B2483" s="31"/>
      <c r="C2483" s="31" t="s">
        <v>40</v>
      </c>
      <c r="D2483" s="32" t="s">
        <v>39</v>
      </c>
      <c r="E2483" s="4">
        <f>[1]Source!AT2396</f>
        <v>70</v>
      </c>
      <c r="F2483" s="33"/>
      <c r="G2483" s="34"/>
      <c r="H2483" s="4"/>
      <c r="I2483" s="4"/>
      <c r="J2483" s="33">
        <f>SUM(AC2479:AC2482)</f>
        <v>252686.34</v>
      </c>
      <c r="K2483" s="33"/>
      <c r="M2483"/>
      <c r="N2483"/>
      <c r="O2483"/>
      <c r="P2483"/>
      <c r="Q2483"/>
    </row>
    <row r="2484" spans="1:33" ht="14.25" x14ac:dyDescent="0.2">
      <c r="A2484" s="31"/>
      <c r="B2484" s="31"/>
      <c r="C2484" s="31" t="s">
        <v>41</v>
      </c>
      <c r="D2484" s="32" t="s">
        <v>39</v>
      </c>
      <c r="E2484" s="4">
        <f>[1]Source!AU2396</f>
        <v>10</v>
      </c>
      <c r="F2484" s="33"/>
      <c r="G2484" s="34"/>
      <c r="H2484" s="4"/>
      <c r="I2484" s="4"/>
      <c r="J2484" s="33">
        <f>SUM(AE2479:AE2483)</f>
        <v>36098.050000000003</v>
      </c>
      <c r="K2484" s="33"/>
      <c r="M2484"/>
      <c r="N2484"/>
      <c r="O2484"/>
      <c r="P2484"/>
      <c r="Q2484"/>
    </row>
    <row r="2485" spans="1:33" ht="14.25" x14ac:dyDescent="0.2">
      <c r="A2485" s="31"/>
      <c r="B2485" s="31"/>
      <c r="C2485" s="31" t="s">
        <v>38</v>
      </c>
      <c r="D2485" s="32" t="s">
        <v>39</v>
      </c>
      <c r="E2485" s="4">
        <f>108</f>
        <v>108</v>
      </c>
      <c r="F2485" s="33"/>
      <c r="G2485" s="34"/>
      <c r="H2485" s="4"/>
      <c r="I2485" s="4"/>
      <c r="J2485" s="33">
        <f>SUM(AG2479:AG2484)</f>
        <v>784392.92</v>
      </c>
      <c r="K2485" s="33"/>
      <c r="M2485"/>
      <c r="N2485"/>
      <c r="O2485"/>
      <c r="P2485"/>
      <c r="Q2485"/>
    </row>
    <row r="2486" spans="1:33" ht="14.25" x14ac:dyDescent="0.2">
      <c r="A2486" s="31"/>
      <c r="B2486" s="31"/>
      <c r="C2486" s="31" t="s">
        <v>42</v>
      </c>
      <c r="D2486" s="32" t="s">
        <v>43</v>
      </c>
      <c r="E2486" s="4">
        <f>[1]Source!AQ2396</f>
        <v>0.37</v>
      </c>
      <c r="F2486" s="33"/>
      <c r="G2486" s="34" t="str">
        <f>[1]Source!DI2396</f>
        <v>)*1</v>
      </c>
      <c r="H2486" s="4">
        <f>[1]Source!AV2396</f>
        <v>1</v>
      </c>
      <c r="I2486" s="4"/>
      <c r="J2486" s="33"/>
      <c r="K2486" s="33">
        <f>[1]Source!U2396</f>
        <v>1456.0425</v>
      </c>
      <c r="M2486"/>
      <c r="N2486"/>
      <c r="O2486"/>
      <c r="P2486"/>
      <c r="Q2486"/>
    </row>
    <row r="2487" spans="1:33" ht="15" x14ac:dyDescent="0.25">
      <c r="A2487" s="35"/>
      <c r="B2487" s="35"/>
      <c r="C2487" s="35"/>
      <c r="D2487" s="35"/>
      <c r="E2487" s="35"/>
      <c r="F2487" s="35"/>
      <c r="G2487" s="35"/>
      <c r="H2487" s="35"/>
      <c r="I2487" s="36">
        <f>J2480+J2481+J2483+J2484+J2485</f>
        <v>2938013.5799999996</v>
      </c>
      <c r="J2487" s="36"/>
      <c r="K2487" s="37">
        <f>IF([1]Source!I2396&lt;&gt;0, ROUND(I2487/[1]Source!I2396, 2), 0)</f>
        <v>746.59</v>
      </c>
      <c r="M2487"/>
      <c r="N2487"/>
      <c r="O2487"/>
      <c r="P2487"/>
      <c r="Q2487"/>
      <c r="AA2487" s="38">
        <f>I2487</f>
        <v>2938013.5799999996</v>
      </c>
    </row>
    <row r="2488" spans="1:33" ht="85.5" x14ac:dyDescent="0.2">
      <c r="A2488" s="31">
        <v>337</v>
      </c>
      <c r="B2488" s="31" t="str">
        <f>[1]Source!F2397</f>
        <v>5.3-1102-25-2/1</v>
      </c>
      <c r="C2488" s="31" t="str">
        <f>[1]Source!G2397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488" s="32" t="str">
        <f>[1]Source!H2397</f>
        <v>м3</v>
      </c>
      <c r="E2488" s="4">
        <f>[1]Source!I2397</f>
        <v>-3935.25</v>
      </c>
      <c r="F2488" s="33"/>
      <c r="G2488" s="34"/>
      <c r="H2488" s="4"/>
      <c r="I2488" s="4"/>
      <c r="J2488" s="33"/>
      <c r="K2488" s="33"/>
      <c r="M2488"/>
      <c r="N2488"/>
      <c r="O2488"/>
      <c r="P2488"/>
      <c r="Q2488"/>
      <c r="AB2488">
        <f>ROUND(([1]Source!BZ2397/100)*ROUND(([1]Source!AF2397*[1]Source!AV2397)*[1]Source!I2397, 2), 2)</f>
        <v>-40989.56</v>
      </c>
      <c r="AC2488">
        <f>[1]Source!X2397</f>
        <v>-40989.56</v>
      </c>
      <c r="AD2488">
        <f>ROUND(([1]Source!CA2397/100)*ROUND(([1]Source!AF2397*[1]Source!AV2397)*[1]Source!I2397, 2), 2)</f>
        <v>-5855.65</v>
      </c>
      <c r="AE2488">
        <f>[1]Source!Y2397</f>
        <v>-5855.65</v>
      </c>
      <c r="AF2488">
        <f>ROUND((175/100)*ROUND(([1]Source!AE2397*[1]Source!AV2397)*[1]Source!I2397, 2), 2)</f>
        <v>-164454.1</v>
      </c>
      <c r="AG2488">
        <f>ROUND((108/100)*ROUND([1]Source!CS2397*[1]Source!I2397, 2), 2)</f>
        <v>-101491.67</v>
      </c>
    </row>
    <row r="2489" spans="1:33" ht="14.25" x14ac:dyDescent="0.2">
      <c r="A2489" s="31"/>
      <c r="B2489" s="31"/>
      <c r="C2489" s="31" t="s">
        <v>34</v>
      </c>
      <c r="D2489" s="32"/>
      <c r="E2489" s="4"/>
      <c r="F2489" s="33">
        <f>[1]Source!AO2397</f>
        <v>7.44</v>
      </c>
      <c r="G2489" s="34" t="str">
        <f>[1]Source!DG2397</f>
        <v>)*2</v>
      </c>
      <c r="H2489" s="4">
        <f>[1]Source!AV2397</f>
        <v>1</v>
      </c>
      <c r="I2489" s="4">
        <f>IF([1]Source!BA2397&lt;&gt; 0, [1]Source!BA2397, 1)</f>
        <v>1</v>
      </c>
      <c r="J2489" s="33">
        <f>[1]Source!S2397</f>
        <v>-58556.52</v>
      </c>
      <c r="K2489" s="33"/>
      <c r="M2489"/>
      <c r="N2489"/>
      <c r="O2489"/>
      <c r="P2489"/>
      <c r="Q2489"/>
    </row>
    <row r="2490" spans="1:33" ht="14.25" x14ac:dyDescent="0.2">
      <c r="A2490" s="31"/>
      <c r="B2490" s="31"/>
      <c r="C2490" s="31" t="s">
        <v>33</v>
      </c>
      <c r="D2490" s="32"/>
      <c r="E2490" s="4"/>
      <c r="F2490" s="33">
        <f>[1]Source!AM2397</f>
        <v>24.73</v>
      </c>
      <c r="G2490" s="34" t="str">
        <f>[1]Source!DE2397</f>
        <v>)*2</v>
      </c>
      <c r="H2490" s="4">
        <f>[1]Source!AV2397</f>
        <v>1</v>
      </c>
      <c r="I2490" s="4">
        <f>IF([1]Source!BB2397&lt;&gt; 0, [1]Source!BB2397, 1)</f>
        <v>1</v>
      </c>
      <c r="J2490" s="33">
        <f>[1]Source!Q2397</f>
        <v>-194637.47</v>
      </c>
      <c r="K2490" s="33"/>
      <c r="M2490"/>
      <c r="N2490"/>
      <c r="O2490"/>
      <c r="P2490"/>
      <c r="Q2490"/>
    </row>
    <row r="2491" spans="1:33" ht="14.25" x14ac:dyDescent="0.2">
      <c r="A2491" s="31"/>
      <c r="B2491" s="31"/>
      <c r="C2491" s="31" t="s">
        <v>37</v>
      </c>
      <c r="D2491" s="32"/>
      <c r="E2491" s="4"/>
      <c r="F2491" s="33">
        <f>[1]Source!AN2397</f>
        <v>11.94</v>
      </c>
      <c r="G2491" s="34" t="str">
        <f>[1]Source!DF2397</f>
        <v>)*2</v>
      </c>
      <c r="H2491" s="4">
        <f>[1]Source!AV2397</f>
        <v>1</v>
      </c>
      <c r="I2491" s="4">
        <f>IF([1]Source!BS2397&lt;&gt; 0, [1]Source!BS2397, 1)</f>
        <v>1</v>
      </c>
      <c r="J2491" s="41">
        <f>[1]Source!R2397</f>
        <v>-93973.77</v>
      </c>
      <c r="K2491" s="33"/>
      <c r="M2491"/>
      <c r="N2491"/>
      <c r="O2491"/>
      <c r="P2491"/>
      <c r="Q2491"/>
    </row>
    <row r="2492" spans="1:33" ht="14.25" x14ac:dyDescent="0.2">
      <c r="A2492" s="31"/>
      <c r="B2492" s="31"/>
      <c r="C2492" s="31" t="s">
        <v>40</v>
      </c>
      <c r="D2492" s="32" t="s">
        <v>39</v>
      </c>
      <c r="E2492" s="4">
        <f>[1]Source!AT2397</f>
        <v>70</v>
      </c>
      <c r="F2492" s="33"/>
      <c r="G2492" s="34"/>
      <c r="H2492" s="4"/>
      <c r="I2492" s="4"/>
      <c r="J2492" s="33">
        <f>SUM(AC2488:AC2491)</f>
        <v>-40989.56</v>
      </c>
      <c r="K2492" s="33"/>
      <c r="M2492"/>
      <c r="N2492"/>
      <c r="O2492"/>
      <c r="P2492"/>
      <c r="Q2492"/>
    </row>
    <row r="2493" spans="1:33" ht="14.25" x14ac:dyDescent="0.2">
      <c r="A2493" s="31"/>
      <c r="B2493" s="31"/>
      <c r="C2493" s="31" t="s">
        <v>41</v>
      </c>
      <c r="D2493" s="32" t="s">
        <v>39</v>
      </c>
      <c r="E2493" s="4">
        <f>[1]Source!AU2397</f>
        <v>10</v>
      </c>
      <c r="F2493" s="33"/>
      <c r="G2493" s="34"/>
      <c r="H2493" s="4"/>
      <c r="I2493" s="4"/>
      <c r="J2493" s="33">
        <f>SUM(AE2488:AE2492)</f>
        <v>-5855.65</v>
      </c>
      <c r="K2493" s="33"/>
      <c r="M2493"/>
      <c r="N2493"/>
      <c r="O2493"/>
      <c r="P2493"/>
      <c r="Q2493"/>
    </row>
    <row r="2494" spans="1:33" ht="14.25" x14ac:dyDescent="0.2">
      <c r="A2494" s="31"/>
      <c r="B2494" s="31"/>
      <c r="C2494" s="31" t="s">
        <v>38</v>
      </c>
      <c r="D2494" s="32" t="s">
        <v>39</v>
      </c>
      <c r="E2494" s="4">
        <f>108</f>
        <v>108</v>
      </c>
      <c r="F2494" s="33"/>
      <c r="G2494" s="34"/>
      <c r="H2494" s="4"/>
      <c r="I2494" s="4"/>
      <c r="J2494" s="33">
        <f>SUM(AG2488:AG2493)</f>
        <v>-101491.67</v>
      </c>
      <c r="K2494" s="33"/>
      <c r="M2494"/>
      <c r="N2494"/>
      <c r="O2494"/>
      <c r="P2494"/>
      <c r="Q2494"/>
    </row>
    <row r="2495" spans="1:33" ht="14.25" x14ac:dyDescent="0.2">
      <c r="A2495" s="31"/>
      <c r="B2495" s="31"/>
      <c r="C2495" s="31" t="s">
        <v>42</v>
      </c>
      <c r="D2495" s="32" t="s">
        <v>43</v>
      </c>
      <c r="E2495" s="4">
        <f>[1]Source!AQ2397</f>
        <v>0.03</v>
      </c>
      <c r="F2495" s="33"/>
      <c r="G2495" s="34" t="str">
        <f>[1]Source!DI2397</f>
        <v>)*2</v>
      </c>
      <c r="H2495" s="4">
        <f>[1]Source!AV2397</f>
        <v>1</v>
      </c>
      <c r="I2495" s="4"/>
      <c r="J2495" s="33"/>
      <c r="K2495" s="33">
        <f>[1]Source!U2397</f>
        <v>-236.11499999999998</v>
      </c>
      <c r="M2495"/>
      <c r="N2495"/>
      <c r="O2495"/>
      <c r="P2495"/>
      <c r="Q2495"/>
    </row>
    <row r="2496" spans="1:33" ht="15" x14ac:dyDescent="0.25">
      <c r="A2496" s="35"/>
      <c r="B2496" s="35"/>
      <c r="C2496" s="35"/>
      <c r="D2496" s="35"/>
      <c r="E2496" s="35"/>
      <c r="F2496" s="35"/>
      <c r="G2496" s="35"/>
      <c r="H2496" s="35"/>
      <c r="I2496" s="36">
        <f>J2489+J2490+J2492+J2493+J2494</f>
        <v>-401530.87</v>
      </c>
      <c r="J2496" s="36"/>
      <c r="K2496" s="37">
        <f>IF([1]Source!I2397&lt;&gt;0, ROUND(I2496/[1]Source!I2397, 2), 0)</f>
        <v>102.03</v>
      </c>
      <c r="M2496"/>
      <c r="N2496"/>
      <c r="O2496"/>
      <c r="P2496"/>
      <c r="Q2496"/>
      <c r="AA2496" s="38">
        <f>I2496</f>
        <v>-401530.87</v>
      </c>
    </row>
    <row r="2497" spans="1:33" ht="85.5" x14ac:dyDescent="0.2">
      <c r="A2497" s="31">
        <v>338</v>
      </c>
      <c r="B2497" s="31" t="str">
        <f>[1]Source!F2398</f>
        <v>5.3-1102-25-1/1</v>
      </c>
      <c r="C2497" s="31" t="str">
        <f>[1]Source!G2398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</c>
      <c r="D2497" s="32" t="str">
        <f>[1]Source!H2398</f>
        <v>м3</v>
      </c>
      <c r="E2497" s="4">
        <f>[1]Source!I2398</f>
        <v>3935.25</v>
      </c>
      <c r="F2497" s="33"/>
      <c r="G2497" s="34"/>
      <c r="H2497" s="4"/>
      <c r="I2497" s="4"/>
      <c r="J2497" s="33"/>
      <c r="K2497" s="33"/>
      <c r="M2497"/>
      <c r="N2497"/>
      <c r="O2497"/>
      <c r="P2497"/>
      <c r="Q2497"/>
      <c r="AB2497">
        <f>ROUND(([1]Source!BZ2398/100)*ROUND(([1]Source!AF2398*[1]Source!AV2398)*[1]Source!I2398, 2), 2)</f>
        <v>252686.34</v>
      </c>
      <c r="AC2497">
        <f>[1]Source!X2398</f>
        <v>252686.34</v>
      </c>
      <c r="AD2497">
        <f>ROUND(([1]Source!CA2398/100)*ROUND(([1]Source!AF2398*[1]Source!AV2398)*[1]Source!I2398, 2), 2)</f>
        <v>36098.050000000003</v>
      </c>
      <c r="AE2497">
        <f>[1]Source!Y2398</f>
        <v>36098.050000000003</v>
      </c>
      <c r="AF2497">
        <f>ROUND((175/100)*ROUND(([1]Source!AE2398*[1]Source!AV2398)*[1]Source!I2398, 2), 2)</f>
        <v>1271007.05</v>
      </c>
      <c r="AG2497">
        <f>ROUND((108/100)*ROUND([1]Source!CS2398*[1]Source!I2398, 2), 2)</f>
        <v>784392.92</v>
      </c>
    </row>
    <row r="2498" spans="1:33" ht="14.25" x14ac:dyDescent="0.2">
      <c r="A2498" s="31"/>
      <c r="B2498" s="31"/>
      <c r="C2498" s="31" t="s">
        <v>34</v>
      </c>
      <c r="D2498" s="32"/>
      <c r="E2498" s="4"/>
      <c r="F2498" s="33">
        <f>[1]Source!AO2398</f>
        <v>91.73</v>
      </c>
      <c r="G2498" s="34" t="str">
        <f>[1]Source!DG2398</f>
        <v>)*1</v>
      </c>
      <c r="H2498" s="4">
        <f>[1]Source!AV2398</f>
        <v>1</v>
      </c>
      <c r="I2498" s="4">
        <f>IF([1]Source!BA2398&lt;&gt; 0, [1]Source!BA2398, 1)</f>
        <v>1</v>
      </c>
      <c r="J2498" s="33">
        <f>[1]Source!S2398</f>
        <v>360980.47999999998</v>
      </c>
      <c r="K2498" s="33"/>
      <c r="M2498"/>
      <c r="N2498"/>
      <c r="O2498"/>
      <c r="P2498"/>
      <c r="Q2498"/>
    </row>
    <row r="2499" spans="1:33" ht="14.25" x14ac:dyDescent="0.2">
      <c r="A2499" s="31"/>
      <c r="B2499" s="31"/>
      <c r="C2499" s="31" t="s">
        <v>33</v>
      </c>
      <c r="D2499" s="32"/>
      <c r="E2499" s="4"/>
      <c r="F2499" s="33">
        <f>[1]Source!AM2398</f>
        <v>382.15</v>
      </c>
      <c r="G2499" s="34" t="str">
        <f>[1]Source!DE2398</f>
        <v>)*1</v>
      </c>
      <c r="H2499" s="4">
        <f>[1]Source!AV2398</f>
        <v>1</v>
      </c>
      <c r="I2499" s="4">
        <f>IF([1]Source!BB2398&lt;&gt; 0, [1]Source!BB2398, 1)</f>
        <v>1</v>
      </c>
      <c r="J2499" s="33">
        <f>[1]Source!Q2398</f>
        <v>1503855.79</v>
      </c>
      <c r="K2499" s="33"/>
      <c r="M2499"/>
      <c r="N2499"/>
      <c r="O2499"/>
      <c r="P2499"/>
      <c r="Q2499"/>
    </row>
    <row r="2500" spans="1:33" ht="14.25" x14ac:dyDescent="0.2">
      <c r="A2500" s="31"/>
      <c r="B2500" s="31"/>
      <c r="C2500" s="31" t="s">
        <v>37</v>
      </c>
      <c r="D2500" s="32"/>
      <c r="E2500" s="4"/>
      <c r="F2500" s="33">
        <f>[1]Source!AN2398</f>
        <v>184.56</v>
      </c>
      <c r="G2500" s="34" t="str">
        <f>[1]Source!DF2398</f>
        <v>)*1</v>
      </c>
      <c r="H2500" s="4">
        <f>[1]Source!AV2398</f>
        <v>1</v>
      </c>
      <c r="I2500" s="4">
        <f>IF([1]Source!BS2398&lt;&gt; 0, [1]Source!BS2398, 1)</f>
        <v>1</v>
      </c>
      <c r="J2500" s="41">
        <f>[1]Source!R2398</f>
        <v>726289.74</v>
      </c>
      <c r="K2500" s="33"/>
      <c r="M2500"/>
      <c r="N2500"/>
      <c r="O2500"/>
      <c r="P2500"/>
      <c r="Q2500"/>
    </row>
    <row r="2501" spans="1:33" ht="14.25" x14ac:dyDescent="0.2">
      <c r="A2501" s="31"/>
      <c r="B2501" s="31"/>
      <c r="C2501" s="31" t="s">
        <v>40</v>
      </c>
      <c r="D2501" s="32" t="s">
        <v>39</v>
      </c>
      <c r="E2501" s="4">
        <f>[1]Source!AT2398</f>
        <v>70</v>
      </c>
      <c r="F2501" s="33"/>
      <c r="G2501" s="34"/>
      <c r="H2501" s="4"/>
      <c r="I2501" s="4"/>
      <c r="J2501" s="33">
        <f>SUM(AC2497:AC2500)</f>
        <v>252686.34</v>
      </c>
      <c r="K2501" s="33"/>
      <c r="M2501"/>
      <c r="N2501"/>
      <c r="O2501"/>
      <c r="P2501"/>
      <c r="Q2501"/>
    </row>
    <row r="2502" spans="1:33" ht="14.25" x14ac:dyDescent="0.2">
      <c r="A2502" s="31"/>
      <c r="B2502" s="31"/>
      <c r="C2502" s="31" t="s">
        <v>41</v>
      </c>
      <c r="D2502" s="32" t="s">
        <v>39</v>
      </c>
      <c r="E2502" s="4">
        <f>[1]Source!AU2398</f>
        <v>10</v>
      </c>
      <c r="F2502" s="33"/>
      <c r="G2502" s="34"/>
      <c r="H2502" s="4"/>
      <c r="I2502" s="4"/>
      <c r="J2502" s="33">
        <f>SUM(AE2497:AE2501)</f>
        <v>36098.050000000003</v>
      </c>
      <c r="K2502" s="33"/>
      <c r="M2502"/>
      <c r="N2502"/>
      <c r="O2502"/>
      <c r="P2502"/>
      <c r="Q2502"/>
    </row>
    <row r="2503" spans="1:33" ht="14.25" x14ac:dyDescent="0.2">
      <c r="A2503" s="31"/>
      <c r="B2503" s="31"/>
      <c r="C2503" s="31" t="s">
        <v>38</v>
      </c>
      <c r="D2503" s="32" t="s">
        <v>39</v>
      </c>
      <c r="E2503" s="4">
        <f>108</f>
        <v>108</v>
      </c>
      <c r="F2503" s="33"/>
      <c r="G2503" s="34"/>
      <c r="H2503" s="4"/>
      <c r="I2503" s="4"/>
      <c r="J2503" s="33">
        <f>SUM(AG2497:AG2502)</f>
        <v>784392.92</v>
      </c>
      <c r="K2503" s="33"/>
      <c r="M2503"/>
      <c r="N2503"/>
      <c r="O2503"/>
      <c r="P2503"/>
      <c r="Q2503"/>
    </row>
    <row r="2504" spans="1:33" ht="14.25" x14ac:dyDescent="0.2">
      <c r="A2504" s="31"/>
      <c r="B2504" s="31"/>
      <c r="C2504" s="31" t="s">
        <v>42</v>
      </c>
      <c r="D2504" s="32" t="s">
        <v>43</v>
      </c>
      <c r="E2504" s="4">
        <f>[1]Source!AQ2398</f>
        <v>0.37</v>
      </c>
      <c r="F2504" s="33"/>
      <c r="G2504" s="34" t="str">
        <f>[1]Source!DI2398</f>
        <v>)*1</v>
      </c>
      <c r="H2504" s="4">
        <f>[1]Source!AV2398</f>
        <v>1</v>
      </c>
      <c r="I2504" s="4"/>
      <c r="J2504" s="33"/>
      <c r="K2504" s="33">
        <f>[1]Source!U2398</f>
        <v>1456.0425</v>
      </c>
      <c r="M2504"/>
      <c r="N2504"/>
      <c r="O2504"/>
      <c r="P2504"/>
      <c r="Q2504"/>
    </row>
    <row r="2505" spans="1:33" ht="15" x14ac:dyDescent="0.25">
      <c r="A2505" s="35"/>
      <c r="B2505" s="35"/>
      <c r="C2505" s="35"/>
      <c r="D2505" s="35"/>
      <c r="E2505" s="35"/>
      <c r="F2505" s="35"/>
      <c r="G2505" s="35"/>
      <c r="H2505" s="35"/>
      <c r="I2505" s="36">
        <f>J2498+J2499+J2501+J2502+J2503</f>
        <v>2938013.5799999996</v>
      </c>
      <c r="J2505" s="36"/>
      <c r="K2505" s="37">
        <f>IF([1]Source!I2398&lt;&gt;0, ROUND(I2505/[1]Source!I2398, 2), 0)</f>
        <v>746.59</v>
      </c>
      <c r="M2505"/>
      <c r="N2505"/>
      <c r="O2505"/>
      <c r="P2505"/>
      <c r="Q2505"/>
      <c r="AA2505" s="38">
        <f>I2505</f>
        <v>2938013.5799999996</v>
      </c>
    </row>
    <row r="2506" spans="1:33" ht="85.5" x14ac:dyDescent="0.2">
      <c r="A2506" s="31">
        <v>339</v>
      </c>
      <c r="B2506" s="31" t="str">
        <f>[1]Source!F2399</f>
        <v>5.3-1102-25-2/1</v>
      </c>
      <c r="C2506" s="31" t="str">
        <f>[1]Source!G2399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2506" s="32" t="str">
        <f>[1]Source!H2399</f>
        <v>м3</v>
      </c>
      <c r="E2506" s="4">
        <f>[1]Source!I2399</f>
        <v>-3935.25</v>
      </c>
      <c r="F2506" s="33"/>
      <c r="G2506" s="34"/>
      <c r="H2506" s="4"/>
      <c r="I2506" s="4"/>
      <c r="J2506" s="33"/>
      <c r="K2506" s="33"/>
      <c r="M2506"/>
      <c r="N2506"/>
      <c r="O2506"/>
      <c r="P2506"/>
      <c r="Q2506"/>
      <c r="AB2506">
        <f>ROUND(([1]Source!BZ2399/100)*ROUND(([1]Source!AF2399*[1]Source!AV2399)*[1]Source!I2399, 2), 2)</f>
        <v>-20494.78</v>
      </c>
      <c r="AC2506">
        <f>[1]Source!X2399</f>
        <v>-20494.78</v>
      </c>
      <c r="AD2506">
        <f>ROUND(([1]Source!CA2399/100)*ROUND(([1]Source!AF2399*[1]Source!AV2399)*[1]Source!I2399, 2), 2)</f>
        <v>-2927.83</v>
      </c>
      <c r="AE2506">
        <f>[1]Source!Y2399</f>
        <v>-2927.83</v>
      </c>
      <c r="AF2506">
        <f>ROUND((175/100)*ROUND(([1]Source!AE2399*[1]Source!AV2399)*[1]Source!I2399, 2), 2)</f>
        <v>-82227.06</v>
      </c>
      <c r="AG2506">
        <f>ROUND((108/100)*ROUND([1]Source!CS2399*[1]Source!I2399, 2), 2)</f>
        <v>-50745.84</v>
      </c>
    </row>
    <row r="2507" spans="1:33" ht="14.25" x14ac:dyDescent="0.2">
      <c r="A2507" s="31"/>
      <c r="B2507" s="31"/>
      <c r="C2507" s="31" t="s">
        <v>34</v>
      </c>
      <c r="D2507" s="32"/>
      <c r="E2507" s="4"/>
      <c r="F2507" s="33">
        <f>[1]Source!AO2399</f>
        <v>7.44</v>
      </c>
      <c r="G2507" s="34" t="str">
        <f>[1]Source!DG2399</f>
        <v>)*1</v>
      </c>
      <c r="H2507" s="4">
        <f>[1]Source!AV2399</f>
        <v>1</v>
      </c>
      <c r="I2507" s="4">
        <f>IF([1]Source!BA2399&lt;&gt; 0, [1]Source!BA2399, 1)</f>
        <v>1</v>
      </c>
      <c r="J2507" s="33">
        <f>[1]Source!S2399</f>
        <v>-29278.26</v>
      </c>
      <c r="K2507" s="33"/>
      <c r="M2507"/>
      <c r="N2507"/>
      <c r="O2507"/>
      <c r="P2507"/>
      <c r="Q2507"/>
    </row>
    <row r="2508" spans="1:33" ht="14.25" x14ac:dyDescent="0.2">
      <c r="A2508" s="31"/>
      <c r="B2508" s="31"/>
      <c r="C2508" s="31" t="s">
        <v>33</v>
      </c>
      <c r="D2508" s="32"/>
      <c r="E2508" s="4"/>
      <c r="F2508" s="33">
        <f>[1]Source!AM2399</f>
        <v>24.73</v>
      </c>
      <c r="G2508" s="34" t="str">
        <f>[1]Source!DE2399</f>
        <v>)*1</v>
      </c>
      <c r="H2508" s="4">
        <f>[1]Source!AV2399</f>
        <v>1</v>
      </c>
      <c r="I2508" s="4">
        <f>IF([1]Source!BB2399&lt;&gt; 0, [1]Source!BB2399, 1)</f>
        <v>1</v>
      </c>
      <c r="J2508" s="33">
        <f>[1]Source!Q2399</f>
        <v>-97318.73</v>
      </c>
      <c r="K2508" s="33"/>
      <c r="M2508"/>
      <c r="N2508"/>
      <c r="O2508"/>
      <c r="P2508"/>
      <c r="Q2508"/>
    </row>
    <row r="2509" spans="1:33" ht="14.25" x14ac:dyDescent="0.2">
      <c r="A2509" s="31"/>
      <c r="B2509" s="31"/>
      <c r="C2509" s="31" t="s">
        <v>37</v>
      </c>
      <c r="D2509" s="32"/>
      <c r="E2509" s="4"/>
      <c r="F2509" s="33">
        <f>[1]Source!AN2399</f>
        <v>11.94</v>
      </c>
      <c r="G2509" s="34" t="str">
        <f>[1]Source!DF2399</f>
        <v>)*1</v>
      </c>
      <c r="H2509" s="4">
        <f>[1]Source!AV2399</f>
        <v>1</v>
      </c>
      <c r="I2509" s="4">
        <f>IF([1]Source!BS2399&lt;&gt; 0, [1]Source!BS2399, 1)</f>
        <v>1</v>
      </c>
      <c r="J2509" s="41">
        <f>[1]Source!R2399</f>
        <v>-46986.89</v>
      </c>
      <c r="K2509" s="33"/>
      <c r="M2509"/>
      <c r="N2509"/>
      <c r="O2509"/>
      <c r="P2509"/>
      <c r="Q2509"/>
    </row>
    <row r="2510" spans="1:33" ht="14.25" x14ac:dyDescent="0.2">
      <c r="A2510" s="31"/>
      <c r="B2510" s="31"/>
      <c r="C2510" s="31" t="s">
        <v>40</v>
      </c>
      <c r="D2510" s="32" t="s">
        <v>39</v>
      </c>
      <c r="E2510" s="4">
        <f>[1]Source!AT2399</f>
        <v>70</v>
      </c>
      <c r="F2510" s="33"/>
      <c r="G2510" s="34"/>
      <c r="H2510" s="4"/>
      <c r="I2510" s="4"/>
      <c r="J2510" s="33">
        <f>SUM(AC2506:AC2509)</f>
        <v>-20494.78</v>
      </c>
      <c r="K2510" s="33"/>
      <c r="M2510"/>
      <c r="N2510"/>
      <c r="O2510"/>
      <c r="P2510"/>
      <c r="Q2510"/>
    </row>
    <row r="2511" spans="1:33" ht="14.25" x14ac:dyDescent="0.2">
      <c r="A2511" s="31"/>
      <c r="B2511" s="31"/>
      <c r="C2511" s="31" t="s">
        <v>41</v>
      </c>
      <c r="D2511" s="32" t="s">
        <v>39</v>
      </c>
      <c r="E2511" s="4">
        <f>[1]Source!AU2399</f>
        <v>10</v>
      </c>
      <c r="F2511" s="33"/>
      <c r="G2511" s="34"/>
      <c r="H2511" s="4"/>
      <c r="I2511" s="4"/>
      <c r="J2511" s="33">
        <f>SUM(AE2506:AE2510)</f>
        <v>-2927.83</v>
      </c>
      <c r="K2511" s="33"/>
      <c r="M2511"/>
      <c r="N2511"/>
      <c r="O2511"/>
      <c r="P2511"/>
      <c r="Q2511"/>
    </row>
    <row r="2512" spans="1:33" ht="14.25" x14ac:dyDescent="0.2">
      <c r="A2512" s="31"/>
      <c r="B2512" s="31"/>
      <c r="C2512" s="31" t="s">
        <v>38</v>
      </c>
      <c r="D2512" s="32" t="s">
        <v>39</v>
      </c>
      <c r="E2512" s="4">
        <f>108</f>
        <v>108</v>
      </c>
      <c r="F2512" s="33"/>
      <c r="G2512" s="34"/>
      <c r="H2512" s="4"/>
      <c r="I2512" s="4"/>
      <c r="J2512" s="33">
        <f>SUM(AG2506:AG2511)</f>
        <v>-50745.84</v>
      </c>
      <c r="K2512" s="33"/>
      <c r="M2512"/>
      <c r="N2512"/>
      <c r="O2512"/>
      <c r="P2512"/>
      <c r="Q2512"/>
    </row>
    <row r="2513" spans="1:43" ht="14.25" x14ac:dyDescent="0.2">
      <c r="A2513" s="31"/>
      <c r="B2513" s="31"/>
      <c r="C2513" s="31" t="s">
        <v>42</v>
      </c>
      <c r="D2513" s="32" t="s">
        <v>43</v>
      </c>
      <c r="E2513" s="4">
        <f>[1]Source!AQ2399</f>
        <v>0.03</v>
      </c>
      <c r="F2513" s="33"/>
      <c r="G2513" s="34" t="str">
        <f>[1]Source!DI2399</f>
        <v>)*1</v>
      </c>
      <c r="H2513" s="4">
        <f>[1]Source!AV2399</f>
        <v>1</v>
      </c>
      <c r="I2513" s="4"/>
      <c r="J2513" s="33"/>
      <c r="K2513" s="33">
        <f>[1]Source!U2399</f>
        <v>-118.05749999999999</v>
      </c>
      <c r="M2513"/>
      <c r="N2513"/>
      <c r="O2513"/>
      <c r="P2513"/>
      <c r="Q2513"/>
    </row>
    <row r="2514" spans="1:43" ht="15" x14ac:dyDescent="0.25">
      <c r="A2514" s="35"/>
      <c r="B2514" s="35"/>
      <c r="C2514" s="35"/>
      <c r="D2514" s="35"/>
      <c r="E2514" s="35"/>
      <c r="F2514" s="35"/>
      <c r="G2514" s="35"/>
      <c r="H2514" s="35"/>
      <c r="I2514" s="36">
        <f>J2507+J2508+J2510+J2511+J2512</f>
        <v>-200765.43999999997</v>
      </c>
      <c r="J2514" s="36"/>
      <c r="K2514" s="37">
        <f>IF([1]Source!I2399&lt;&gt;0, ROUND(I2514/[1]Source!I2399, 2), 0)</f>
        <v>51.02</v>
      </c>
      <c r="M2514"/>
      <c r="N2514"/>
      <c r="O2514"/>
      <c r="P2514"/>
      <c r="Q2514"/>
      <c r="AA2514" s="38">
        <f>I2514</f>
        <v>-200765.43999999997</v>
      </c>
    </row>
    <row r="2515" spans="1:43" x14ac:dyDescent="0.2">
      <c r="M2515"/>
      <c r="N2515"/>
      <c r="O2515"/>
      <c r="P2515"/>
      <c r="Q2515"/>
    </row>
    <row r="2516" spans="1:43" ht="15" x14ac:dyDescent="0.25">
      <c r="A2516" s="42" t="str">
        <f>CONCATENATE("Итого по разделу: ",IF([1]Source!G2401&lt;&gt;"Новый раздел", [1]Source!G2401, ""))</f>
        <v>Итого по разделу: Сбор и перемещение снега и скола к месту временного размещения( 2026г.)</v>
      </c>
      <c r="B2516" s="42"/>
      <c r="C2516" s="42"/>
      <c r="D2516" s="42"/>
      <c r="E2516" s="42"/>
      <c r="F2516" s="42"/>
      <c r="G2516" s="42"/>
      <c r="H2516" s="42"/>
      <c r="I2516" s="43">
        <f>SUM(AA2442:AA2515)</f>
        <v>9744399.9499999993</v>
      </c>
      <c r="J2516" s="44"/>
      <c r="K2516" s="47"/>
      <c r="L2516" s="38">
        <f>I2516</f>
        <v>9744399.9499999993</v>
      </c>
      <c r="M2516" s="2">
        <f>ROUND(I2516*$I$4874,2)</f>
        <v>7037472.3700000001</v>
      </c>
      <c r="N2516" s="2">
        <f>ROUND(M2516*1.2/105*100,2)</f>
        <v>8042825.5700000003</v>
      </c>
      <c r="O2516" s="2">
        <f>ROUND(N2516*0.05,2)</f>
        <v>402141.28</v>
      </c>
      <c r="P2516" s="2">
        <f>N2516+O2516-0.01</f>
        <v>8444966.8399999999</v>
      </c>
      <c r="Q2516" s="3">
        <v>68</v>
      </c>
      <c r="R2516">
        <v>2</v>
      </c>
      <c r="S2516" s="2">
        <v>0</v>
      </c>
      <c r="AQ2516" s="46" t="str">
        <f>CONCATENATE("Итого по разделу: ",IF([1]Source!G2401&lt;&gt;"Новый раздел", [1]Source!G2401, ""))</f>
        <v>Итого по разделу: Сбор и перемещение снега и скола к месту временного размещения( 2026г.)</v>
      </c>
    </row>
    <row r="2517" spans="1:43" x14ac:dyDescent="0.2">
      <c r="M2517"/>
      <c r="N2517"/>
      <c r="O2517"/>
      <c r="P2517"/>
      <c r="Q2517"/>
    </row>
    <row r="2518" spans="1:43" x14ac:dyDescent="0.2">
      <c r="M2518"/>
      <c r="N2518"/>
      <c r="O2518"/>
      <c r="P2518"/>
      <c r="Q2518"/>
    </row>
    <row r="2519" spans="1:43" ht="15" x14ac:dyDescent="0.25">
      <c r="A2519" s="42" t="str">
        <f>CONCATENATE("Итого по локальной смете: ",IF([1]Source!G2431&lt;&gt;"Новая локальная смета", [1]Source!G2431, ""))</f>
        <v>Итого по локальной смете: Зимняя уборка территории</v>
      </c>
      <c r="B2519" s="42"/>
      <c r="C2519" s="42"/>
      <c r="D2519" s="42"/>
      <c r="E2519" s="42"/>
      <c r="F2519" s="42"/>
      <c r="G2519" s="42"/>
      <c r="H2519" s="42"/>
      <c r="I2519" s="43">
        <f>SUM(AA32:AA2518)</f>
        <v>267794582.71000007</v>
      </c>
      <c r="J2519" s="44"/>
      <c r="K2519" s="2"/>
      <c r="L2519" s="38">
        <f>I2519</f>
        <v>267794582.71000007</v>
      </c>
      <c r="M2519" s="2">
        <f>ROUND(I2519*$I$4874,2)</f>
        <v>193403081.41999999</v>
      </c>
      <c r="N2519" s="2">
        <f>ROUND(M2519*1.2/105*100,2)</f>
        <v>221032093.05000001</v>
      </c>
      <c r="O2519" s="2">
        <f>ROUND(N2519*0.05,2)</f>
        <v>11051604.65</v>
      </c>
      <c r="P2519" s="2">
        <f>$P$2516+$P$2439+$P$2362+$P$2285+$P$2193+$P$2157+$P$2087+$P$1832+$P$1806+$P$1797+$P$1785+$P$1773+$P$1761+$P$1749+$P$1268+$P$1186+$P$1178+$P$1169+$P$1161+$P$1153+$P$1058+$P$1042+$P$1015+$P$999+$P$988+$P$958+$P$942+$P$908+$P$884+$P$857+$P$802+$P$768+$P$684+$P$619+$P$554+$P$489+$P$424+$P$359+$P$277+$P$195+$P$113+$P$718+$P$744</f>
        <v>232083697.72999999</v>
      </c>
      <c r="Q2519" s="48"/>
      <c r="R2519">
        <v>3</v>
      </c>
      <c r="Z2519" s="2">
        <f>$P$2516+$P$2439+$P$2362+$P$2285+$P$2193+$P$2157+$P$2087+$P$1832+$P$1806+$P$1797+$P$1785+$P$1773+$P$1761+$P$1749+$P$1268+$P$1186+$P$1178+$P$1169+$P$1161+$P$1153+$P$1058+$P$1042+$P$1015+$P$999+$P$988+$P$958+$P$942+$P$908+$P$884+$P$857+$P$802+$P$768+$P$684+$P$619+$P$554+$P$489+$P$424+$P$359+$P$277+$P$195+$P$113+$P$718+$P$744</f>
        <v>232083697.72999999</v>
      </c>
      <c r="AA2519" s="2">
        <f>P2519-Z2519</f>
        <v>0</v>
      </c>
    </row>
    <row r="2520" spans="1:43" x14ac:dyDescent="0.2">
      <c r="M2520"/>
      <c r="N2520"/>
      <c r="O2520"/>
      <c r="P2520"/>
      <c r="Q2520"/>
    </row>
    <row r="2521" spans="1:43" x14ac:dyDescent="0.2">
      <c r="M2521"/>
      <c r="N2521"/>
      <c r="O2521"/>
      <c r="P2521"/>
      <c r="Q2521"/>
    </row>
    <row r="2522" spans="1:43" ht="16.5" x14ac:dyDescent="0.25">
      <c r="A2522" s="29" t="str">
        <f>CONCATENATE("Локальная смета: ",IF([1]Source!G2461&lt;&gt;"Новая локальная смета", [1]Source!G2461, ""))</f>
        <v>Локальная смета: Летняя уборка территории</v>
      </c>
      <c r="B2522" s="29"/>
      <c r="C2522" s="29"/>
      <c r="D2522" s="29"/>
      <c r="E2522" s="29"/>
      <c r="F2522" s="29"/>
      <c r="G2522" s="29"/>
      <c r="H2522" s="29"/>
      <c r="I2522" s="29"/>
      <c r="J2522" s="29"/>
      <c r="K2522" s="29"/>
      <c r="M2522"/>
      <c r="N2522"/>
      <c r="O2522"/>
      <c r="P2522"/>
      <c r="Q2522"/>
    </row>
    <row r="2523" spans="1:43" x14ac:dyDescent="0.2">
      <c r="M2523"/>
      <c r="N2523"/>
      <c r="O2523"/>
      <c r="P2523"/>
      <c r="Q2523"/>
    </row>
    <row r="2524" spans="1:43" ht="16.5" x14ac:dyDescent="0.25">
      <c r="A2524" s="29" t="str">
        <f>CONCATENATE("Раздел: ",IF([1]Source!G2465&lt;&gt;"Новый раздел", [1]Source!G2465, ""))</f>
        <v>Раздел: Содержание   садово-парковых дорожек с мощением, рассчитанным на нагрузку 16т\ось ( 7142 м2)</v>
      </c>
      <c r="B2524" s="29"/>
      <c r="C2524" s="29"/>
      <c r="D2524" s="29"/>
      <c r="E2524" s="29"/>
      <c r="F2524" s="29"/>
      <c r="G2524" s="29"/>
      <c r="H2524" s="29"/>
      <c r="I2524" s="29"/>
      <c r="J2524" s="29"/>
      <c r="K2524" s="29"/>
      <c r="M2524"/>
      <c r="N2524"/>
      <c r="O2524"/>
      <c r="P2524"/>
      <c r="Q2524"/>
      <c r="AP2524" s="30" t="str">
        <f>CONCATENATE("Раздел: ",IF([1]Source!G2465&lt;&gt;"Новый раздел", [1]Source!G2465, ""))</f>
        <v>Раздел: Содержание   садово-парковых дорожек с мощением, рассчитанным на нагрузку 16т\ось ( 7142 м2)</v>
      </c>
    </row>
    <row r="2525" spans="1:43" ht="57" x14ac:dyDescent="0.2">
      <c r="A2525" s="31">
        <v>340</v>
      </c>
      <c r="B2525" s="31" t="str">
        <f>[1]Source!F2469</f>
        <v>5.3-1101-15-1/1</v>
      </c>
      <c r="C2525" s="31" t="str">
        <f>[1]Source!G2469</f>
        <v>Подметание тротуаров, придомовых и внутрибольничных проездов средствами малой механизации ( 7142 м2*0,7=4999,4м2)</v>
      </c>
      <c r="D2525" s="32" t="str">
        <f>[1]Source!H2469</f>
        <v>1000 м2</v>
      </c>
      <c r="E2525" s="4">
        <f>[1]Source!I2469</f>
        <v>4.9993999999999996</v>
      </c>
      <c r="F2525" s="33"/>
      <c r="G2525" s="34"/>
      <c r="H2525" s="4"/>
      <c r="I2525" s="4"/>
      <c r="J2525" s="33"/>
      <c r="K2525" s="33"/>
      <c r="M2525"/>
      <c r="N2525"/>
      <c r="O2525"/>
      <c r="P2525"/>
      <c r="Q2525"/>
      <c r="AB2525">
        <f>ROUND(([1]Source!BZ2469/100)*ROUND(([1]Source!AF2469*[1]Source!AV2469)*[1]Source!I2469, 2), 2)</f>
        <v>0</v>
      </c>
      <c r="AC2525">
        <f>[1]Source!X2469</f>
        <v>0</v>
      </c>
      <c r="AD2525">
        <f>ROUND(([1]Source!CA2469/100)*ROUND(([1]Source!AF2469*[1]Source!AV2469)*[1]Source!I2469, 2), 2)</f>
        <v>0</v>
      </c>
      <c r="AE2525">
        <f>[1]Source!Y2469</f>
        <v>0</v>
      </c>
      <c r="AF2525">
        <f>ROUND((175/100)*ROUND(([1]Source!AE2469*[1]Source!AV2469)*[1]Source!I2469, 2), 2)</f>
        <v>1241118.52</v>
      </c>
      <c r="AG2525">
        <f>ROUND((108/100)*ROUND([1]Source!CS2469*[1]Source!I2469, 2), 2)</f>
        <v>765947.43</v>
      </c>
    </row>
    <row r="2526" spans="1:43" x14ac:dyDescent="0.2">
      <c r="C2526" s="40" t="str">
        <f>"Объем: "&amp;[1]Source!I2469&amp;"=4999,4/"&amp;"1000"</f>
        <v>Объем: 4,9994=4999,4/1000</v>
      </c>
      <c r="M2526"/>
      <c r="N2526"/>
      <c r="O2526"/>
      <c r="P2526"/>
      <c r="Q2526"/>
    </row>
    <row r="2527" spans="1:43" ht="14.25" x14ac:dyDescent="0.2">
      <c r="A2527" s="31"/>
      <c r="B2527" s="31"/>
      <c r="C2527" s="31" t="s">
        <v>33</v>
      </c>
      <c r="D2527" s="32"/>
      <c r="E2527" s="4"/>
      <c r="F2527" s="33">
        <f>[1]Source!AM2469</f>
        <v>290.76</v>
      </c>
      <c r="G2527" s="34" t="str">
        <f>[1]Source!DE2469</f>
        <v>)*3*398</v>
      </c>
      <c r="H2527" s="4">
        <f>[1]Source!AV2469</f>
        <v>1</v>
      </c>
      <c r="I2527" s="4">
        <f>IF([1]Source!BB2469&lt;&gt; 0, [1]Source!BB2469, 1)</f>
        <v>1</v>
      </c>
      <c r="J2527" s="33">
        <f>[1]Source!Q2469</f>
        <v>1735628.9</v>
      </c>
      <c r="K2527" s="33"/>
      <c r="M2527"/>
      <c r="N2527"/>
      <c r="O2527"/>
      <c r="P2527"/>
      <c r="Q2527"/>
    </row>
    <row r="2528" spans="1:43" ht="14.25" x14ac:dyDescent="0.2">
      <c r="A2528" s="31"/>
      <c r="B2528" s="31"/>
      <c r="C2528" s="31" t="s">
        <v>37</v>
      </c>
      <c r="D2528" s="32"/>
      <c r="E2528" s="4"/>
      <c r="F2528" s="33">
        <f>[1]Source!AN2469</f>
        <v>118.81</v>
      </c>
      <c r="G2528" s="34" t="str">
        <f>[1]Source!DF2469</f>
        <v>)*3*398</v>
      </c>
      <c r="H2528" s="4">
        <f>[1]Source!AV2469</f>
        <v>1</v>
      </c>
      <c r="I2528" s="4">
        <f>IF([1]Source!BS2469&lt;&gt; 0, [1]Source!BS2469, 1)</f>
        <v>1</v>
      </c>
      <c r="J2528" s="41">
        <f>[1]Source!R2469</f>
        <v>709210.58</v>
      </c>
      <c r="K2528" s="33"/>
      <c r="M2528"/>
      <c r="N2528"/>
      <c r="O2528"/>
      <c r="P2528"/>
      <c r="Q2528"/>
    </row>
    <row r="2529" spans="1:33" ht="14.25" x14ac:dyDescent="0.2">
      <c r="A2529" s="31"/>
      <c r="B2529" s="31"/>
      <c r="C2529" s="31" t="s">
        <v>47</v>
      </c>
      <c r="D2529" s="32"/>
      <c r="E2529" s="4"/>
      <c r="F2529" s="33">
        <f>[1]Source!AL2469</f>
        <v>8.49</v>
      </c>
      <c r="G2529" s="34" t="str">
        <f>[1]Source!DD2469</f>
        <v>)*3*398</v>
      </c>
      <c r="H2529" s="4">
        <f>[1]Source!AW2469</f>
        <v>1</v>
      </c>
      <c r="I2529" s="4">
        <f>IF([1]Source!BC2469&lt;&gt; 0, [1]Source!BC2469, 1)</f>
        <v>1</v>
      </c>
      <c r="J2529" s="33">
        <f>[1]Source!P2469</f>
        <v>50679.22</v>
      </c>
      <c r="K2529" s="33"/>
      <c r="M2529"/>
      <c r="N2529"/>
      <c r="O2529"/>
      <c r="P2529"/>
      <c r="Q2529"/>
    </row>
    <row r="2530" spans="1:33" ht="14.25" x14ac:dyDescent="0.2">
      <c r="A2530" s="31" t="s">
        <v>99</v>
      </c>
      <c r="B2530" s="31" t="str">
        <f>[1]Source!F2470</f>
        <v>21.1-25-13</v>
      </c>
      <c r="C2530" s="31" t="str">
        <f>[1]Source!G2470</f>
        <v>Вода</v>
      </c>
      <c r="D2530" s="32" t="str">
        <f>[1]Source!H2470</f>
        <v>м3</v>
      </c>
      <c r="E2530" s="4">
        <f>[1]Source!I2470</f>
        <v>-1193.85672</v>
      </c>
      <c r="F2530" s="33">
        <f>[1]Source!AK2470</f>
        <v>42.44</v>
      </c>
      <c r="G2530" s="39" t="s">
        <v>100</v>
      </c>
      <c r="H2530" s="4">
        <f>[1]Source!AW2470</f>
        <v>1</v>
      </c>
      <c r="I2530" s="4">
        <f>IF([1]Source!BC2470&lt;&gt; 0, [1]Source!BC2470, 1)</f>
        <v>1</v>
      </c>
      <c r="J2530" s="33">
        <f>[1]Source!O2470</f>
        <v>-50667.28</v>
      </c>
      <c r="K2530" s="33"/>
      <c r="M2530"/>
      <c r="N2530"/>
      <c r="O2530"/>
      <c r="P2530"/>
      <c r="Q2530"/>
      <c r="AB2530">
        <f>ROUND(([1]Source!BZ2470/100)*ROUND(([1]Source!AF2470*[1]Source!AV2470)*[1]Source!I2470, 2), 2)</f>
        <v>0</v>
      </c>
      <c r="AC2530">
        <f>[1]Source!X2470</f>
        <v>0</v>
      </c>
      <c r="AD2530">
        <f>ROUND(([1]Source!CA2470/100)*ROUND(([1]Source!AF2470*[1]Source!AV2470)*[1]Source!I2470, 2), 2)</f>
        <v>0</v>
      </c>
      <c r="AE2530">
        <f>[1]Source!Y2470</f>
        <v>0</v>
      </c>
      <c r="AF2530">
        <f>ROUND((175/100)*ROUND(([1]Source!AE2470*[1]Source!AV2470)*[1]Source!I2470, 2), 2)</f>
        <v>0</v>
      </c>
      <c r="AG2530">
        <f>ROUND((108/100)*ROUND([1]Source!CS2470*[1]Source!I2470, 2), 2)</f>
        <v>0</v>
      </c>
    </row>
    <row r="2531" spans="1:33" ht="14.25" x14ac:dyDescent="0.2">
      <c r="A2531" s="31"/>
      <c r="B2531" s="31"/>
      <c r="C2531" s="31" t="s">
        <v>38</v>
      </c>
      <c r="D2531" s="32" t="s">
        <v>39</v>
      </c>
      <c r="E2531" s="4">
        <f>108</f>
        <v>108</v>
      </c>
      <c r="F2531" s="33"/>
      <c r="G2531" s="34"/>
      <c r="H2531" s="4"/>
      <c r="I2531" s="4"/>
      <c r="J2531" s="33">
        <f>SUM(AG2525:AG2530)</f>
        <v>765947.43</v>
      </c>
      <c r="K2531" s="33"/>
      <c r="M2531"/>
      <c r="N2531"/>
      <c r="O2531"/>
      <c r="P2531"/>
      <c r="Q2531"/>
    </row>
    <row r="2532" spans="1:33" ht="15" x14ac:dyDescent="0.25">
      <c r="A2532" s="35"/>
      <c r="B2532" s="35"/>
      <c r="C2532" s="35"/>
      <c r="D2532" s="35"/>
      <c r="E2532" s="35"/>
      <c r="F2532" s="35"/>
      <c r="G2532" s="35"/>
      <c r="H2532" s="35"/>
      <c r="I2532" s="36">
        <f>J2527+J2529+J2531+SUM(J2530:J2530)</f>
        <v>2501588.27</v>
      </c>
      <c r="J2532" s="36"/>
      <c r="K2532" s="37">
        <f>IF([1]Source!I2469&lt;&gt;0, ROUND(I2532/[1]Source!I2469, 2), 0)</f>
        <v>500377.7</v>
      </c>
      <c r="M2532"/>
      <c r="N2532"/>
      <c r="O2532"/>
      <c r="P2532"/>
      <c r="Q2532"/>
      <c r="AA2532" s="38">
        <f>I2532</f>
        <v>2501588.27</v>
      </c>
    </row>
    <row r="2533" spans="1:33" ht="42.75" x14ac:dyDescent="0.2">
      <c r="A2533" s="31">
        <v>341</v>
      </c>
      <c r="B2533" s="31" t="str">
        <f>[1]Source!F2471</f>
        <v>5.3-1101-13-1/1</v>
      </c>
      <c r="C2533" s="31" t="str">
        <f>[1]Source!G2471</f>
        <v>Подметание вручную дорожек и площадок с твердым покрытием ( 7142м2*0,3=2142,6м2)</v>
      </c>
      <c r="D2533" s="32" t="str">
        <f>[1]Source!H2471</f>
        <v>100 м2</v>
      </c>
      <c r="E2533" s="4">
        <f>[1]Source!I2471</f>
        <v>21.425999999999998</v>
      </c>
      <c r="F2533" s="33"/>
      <c r="G2533" s="34"/>
      <c r="H2533" s="4"/>
      <c r="I2533" s="4"/>
      <c r="J2533" s="33"/>
      <c r="K2533" s="33"/>
      <c r="M2533"/>
      <c r="N2533"/>
      <c r="O2533"/>
      <c r="P2533"/>
      <c r="Q2533"/>
      <c r="AB2533">
        <f>ROUND(([1]Source!BZ2471/100)*ROUND(([1]Source!AF2471*[1]Source!AV2471)*[1]Source!I2471, 2), 2)</f>
        <v>621581.5</v>
      </c>
      <c r="AC2533">
        <f>[1]Source!X2471</f>
        <v>621581.5</v>
      </c>
      <c r="AD2533">
        <f>ROUND(([1]Source!CA2471/100)*ROUND(([1]Source!AF2471*[1]Source!AV2471)*[1]Source!I2471, 2), 2)</f>
        <v>88797.36</v>
      </c>
      <c r="AE2533">
        <f>[1]Source!Y2471</f>
        <v>88797.36</v>
      </c>
      <c r="AF2533">
        <f>ROUND((175/100)*ROUND(([1]Source!AE2471*[1]Source!AV2471)*[1]Source!I2471, 2), 2)</f>
        <v>0</v>
      </c>
      <c r="AG2533">
        <f>ROUND((108/100)*ROUND([1]Source!CS2471*[1]Source!I2471, 2), 2)</f>
        <v>0</v>
      </c>
    </row>
    <row r="2534" spans="1:33" x14ac:dyDescent="0.2">
      <c r="C2534" s="40" t="str">
        <f>"Объем: "&amp;[1]Source!I2471&amp;"=2142,6/"&amp;"100"</f>
        <v>Объем: 21,426=2142,6/100</v>
      </c>
      <c r="M2534"/>
      <c r="N2534"/>
      <c r="O2534"/>
      <c r="P2534"/>
      <c r="Q2534"/>
    </row>
    <row r="2535" spans="1:33" ht="14.25" x14ac:dyDescent="0.2">
      <c r="A2535" s="31"/>
      <c r="B2535" s="31"/>
      <c r="C2535" s="31" t="s">
        <v>34</v>
      </c>
      <c r="D2535" s="32"/>
      <c r="E2535" s="4"/>
      <c r="F2535" s="33">
        <f>[1]Source!AO2471</f>
        <v>34.71</v>
      </c>
      <c r="G2535" s="34" t="str">
        <f>[1]Source!DG2471</f>
        <v>)*3*398</v>
      </c>
      <c r="H2535" s="4">
        <f>[1]Source!AV2471</f>
        <v>1</v>
      </c>
      <c r="I2535" s="4">
        <f>IF([1]Source!BA2471&lt;&gt; 0, [1]Source!BA2471, 1)</f>
        <v>1</v>
      </c>
      <c r="J2535" s="33">
        <f>[1]Source!S2471</f>
        <v>887973.57</v>
      </c>
      <c r="K2535" s="33"/>
      <c r="M2535"/>
      <c r="N2535"/>
      <c r="O2535"/>
      <c r="P2535"/>
      <c r="Q2535"/>
    </row>
    <row r="2536" spans="1:33" ht="14.25" x14ac:dyDescent="0.2">
      <c r="A2536" s="31"/>
      <c r="B2536" s="31"/>
      <c r="C2536" s="31" t="s">
        <v>40</v>
      </c>
      <c r="D2536" s="32" t="s">
        <v>39</v>
      </c>
      <c r="E2536" s="4">
        <f>[1]Source!AT2471</f>
        <v>70</v>
      </c>
      <c r="F2536" s="33"/>
      <c r="G2536" s="34"/>
      <c r="H2536" s="4"/>
      <c r="I2536" s="4"/>
      <c r="J2536" s="33">
        <f>SUM(AC2533:AC2535)</f>
        <v>621581.5</v>
      </c>
      <c r="K2536" s="33"/>
      <c r="M2536"/>
      <c r="N2536"/>
      <c r="O2536"/>
      <c r="P2536"/>
      <c r="Q2536"/>
    </row>
    <row r="2537" spans="1:33" ht="14.25" x14ac:dyDescent="0.2">
      <c r="A2537" s="31"/>
      <c r="B2537" s="31"/>
      <c r="C2537" s="31" t="s">
        <v>41</v>
      </c>
      <c r="D2537" s="32" t="s">
        <v>39</v>
      </c>
      <c r="E2537" s="4">
        <f>[1]Source!AU2471</f>
        <v>10</v>
      </c>
      <c r="F2537" s="33"/>
      <c r="G2537" s="34"/>
      <c r="H2537" s="4"/>
      <c r="I2537" s="4"/>
      <c r="J2537" s="33">
        <f>SUM(AE2533:AE2536)</f>
        <v>88797.36</v>
      </c>
      <c r="K2537" s="33"/>
      <c r="M2537"/>
      <c r="N2537"/>
      <c r="O2537"/>
      <c r="P2537"/>
      <c r="Q2537"/>
    </row>
    <row r="2538" spans="1:33" ht="14.25" x14ac:dyDescent="0.2">
      <c r="A2538" s="31"/>
      <c r="B2538" s="31"/>
      <c r="C2538" s="31" t="s">
        <v>42</v>
      </c>
      <c r="D2538" s="32" t="s">
        <v>43</v>
      </c>
      <c r="E2538" s="4">
        <f>[1]Source!AQ2471</f>
        <v>0.14000000000000001</v>
      </c>
      <c r="F2538" s="33"/>
      <c r="G2538" s="34" t="str">
        <f>[1]Source!DI2471</f>
        <v>)*3*398</v>
      </c>
      <c r="H2538" s="4">
        <f>[1]Source!AV2471</f>
        <v>1</v>
      </c>
      <c r="I2538" s="4"/>
      <c r="J2538" s="33"/>
      <c r="K2538" s="33">
        <f>[1]Source!U2471</f>
        <v>3581.5701600000002</v>
      </c>
      <c r="M2538"/>
      <c r="N2538"/>
      <c r="O2538"/>
      <c r="P2538"/>
      <c r="Q2538"/>
    </row>
    <row r="2539" spans="1:33" ht="15" x14ac:dyDescent="0.25">
      <c r="A2539" s="35"/>
      <c r="B2539" s="35"/>
      <c r="C2539" s="35"/>
      <c r="D2539" s="35"/>
      <c r="E2539" s="35"/>
      <c r="F2539" s="35"/>
      <c r="G2539" s="35"/>
      <c r="H2539" s="35"/>
      <c r="I2539" s="36">
        <f>J2535+J2536+J2537</f>
        <v>1598352.43</v>
      </c>
      <c r="J2539" s="36"/>
      <c r="K2539" s="37">
        <f>IF([1]Source!I2471&lt;&gt;0, ROUND(I2539/[1]Source!I2471, 2), 0)</f>
        <v>74598.73</v>
      </c>
      <c r="M2539"/>
      <c r="N2539"/>
      <c r="O2539"/>
      <c r="P2539"/>
      <c r="Q2539"/>
      <c r="AA2539" s="38">
        <f>I2539</f>
        <v>1598352.43</v>
      </c>
    </row>
    <row r="2540" spans="1:33" ht="28.5" x14ac:dyDescent="0.2">
      <c r="A2540" s="31">
        <v>342</v>
      </c>
      <c r="B2540" s="31" t="str">
        <f>[1]Source!F2472</f>
        <v>5.3-1101-13-3/1</v>
      </c>
      <c r="C2540" s="31" t="str">
        <f>[1]Source!G2472</f>
        <v>Подметание вручную дорожек и площадок в дни листопада</v>
      </c>
      <c r="D2540" s="32" t="str">
        <f>[1]Source!H2472</f>
        <v>100 м2</v>
      </c>
      <c r="E2540" s="4">
        <f>[1]Source!I2472</f>
        <v>71.42</v>
      </c>
      <c r="F2540" s="33"/>
      <c r="G2540" s="34"/>
      <c r="H2540" s="4"/>
      <c r="I2540" s="4"/>
      <c r="J2540" s="33"/>
      <c r="K2540" s="33"/>
      <c r="M2540"/>
      <c r="N2540"/>
      <c r="O2540"/>
      <c r="P2540"/>
      <c r="Q2540"/>
      <c r="AB2540">
        <f>ROUND(([1]Source!BZ2472/100)*ROUND(([1]Source!AF2472*[1]Source!AV2472)*[1]Source!I2472, 2), 2)</f>
        <v>275156.98</v>
      </c>
      <c r="AC2540">
        <f>[1]Source!X2472</f>
        <v>275156.98</v>
      </c>
      <c r="AD2540">
        <f>ROUND(([1]Source!CA2472/100)*ROUND(([1]Source!AF2472*[1]Source!AV2472)*[1]Source!I2472, 2), 2)</f>
        <v>39308.14</v>
      </c>
      <c r="AE2540">
        <f>[1]Source!Y2472</f>
        <v>39308.14</v>
      </c>
      <c r="AF2540">
        <f>ROUND((175/100)*ROUND(([1]Source!AE2472*[1]Source!AV2472)*[1]Source!I2472, 2), 2)</f>
        <v>0</v>
      </c>
      <c r="AG2540">
        <f>ROUND((108/100)*ROUND([1]Source!CS2472*[1]Source!I2472, 2), 2)</f>
        <v>0</v>
      </c>
    </row>
    <row r="2541" spans="1:33" x14ac:dyDescent="0.2">
      <c r="C2541" s="40" t="str">
        <f>"Объем: "&amp;[1]Source!I2472&amp;"=7142/"&amp;"100"</f>
        <v>Объем: 71,42=7142/100</v>
      </c>
      <c r="M2541"/>
      <c r="N2541"/>
      <c r="O2541"/>
      <c r="P2541"/>
      <c r="Q2541"/>
    </row>
    <row r="2542" spans="1:33" ht="14.25" x14ac:dyDescent="0.2">
      <c r="A2542" s="31"/>
      <c r="B2542" s="31"/>
      <c r="C2542" s="31" t="s">
        <v>34</v>
      </c>
      <c r="D2542" s="32"/>
      <c r="E2542" s="4"/>
      <c r="F2542" s="33">
        <f>[1]Source!AO2472</f>
        <v>91.73</v>
      </c>
      <c r="G2542" s="34" t="str">
        <f>[1]Source!DG2472</f>
        <v>)*1*60</v>
      </c>
      <c r="H2542" s="4">
        <f>[1]Source!AV2472</f>
        <v>1</v>
      </c>
      <c r="I2542" s="4">
        <f>IF([1]Source!BA2472&lt;&gt; 0, [1]Source!BA2472, 1)</f>
        <v>1</v>
      </c>
      <c r="J2542" s="33">
        <f>[1]Source!S2472</f>
        <v>393081.4</v>
      </c>
      <c r="K2542" s="33"/>
      <c r="M2542"/>
      <c r="N2542"/>
      <c r="O2542"/>
      <c r="P2542"/>
      <c r="Q2542"/>
    </row>
    <row r="2543" spans="1:33" ht="14.25" x14ac:dyDescent="0.2">
      <c r="A2543" s="31"/>
      <c r="B2543" s="31"/>
      <c r="C2543" s="31" t="s">
        <v>40</v>
      </c>
      <c r="D2543" s="32" t="s">
        <v>39</v>
      </c>
      <c r="E2543" s="4">
        <f>[1]Source!AT2472</f>
        <v>70</v>
      </c>
      <c r="F2543" s="33"/>
      <c r="G2543" s="34"/>
      <c r="H2543" s="4"/>
      <c r="I2543" s="4"/>
      <c r="J2543" s="33">
        <f>SUM(AC2540:AC2542)</f>
        <v>275156.98</v>
      </c>
      <c r="K2543" s="33"/>
      <c r="M2543"/>
      <c r="N2543"/>
      <c r="O2543"/>
      <c r="P2543"/>
      <c r="Q2543"/>
    </row>
    <row r="2544" spans="1:33" ht="14.25" x14ac:dyDescent="0.2">
      <c r="A2544" s="31"/>
      <c r="B2544" s="31"/>
      <c r="C2544" s="31" t="s">
        <v>41</v>
      </c>
      <c r="D2544" s="32" t="s">
        <v>39</v>
      </c>
      <c r="E2544" s="4">
        <f>[1]Source!AU2472</f>
        <v>10</v>
      </c>
      <c r="F2544" s="33"/>
      <c r="G2544" s="34"/>
      <c r="H2544" s="4"/>
      <c r="I2544" s="4"/>
      <c r="J2544" s="33">
        <f>SUM(AE2540:AE2543)</f>
        <v>39308.14</v>
      </c>
      <c r="K2544" s="33"/>
      <c r="M2544"/>
      <c r="N2544"/>
      <c r="O2544"/>
      <c r="P2544"/>
      <c r="Q2544"/>
    </row>
    <row r="2545" spans="1:33" ht="14.25" x14ac:dyDescent="0.2">
      <c r="A2545" s="31"/>
      <c r="B2545" s="31"/>
      <c r="C2545" s="31" t="s">
        <v>42</v>
      </c>
      <c r="D2545" s="32" t="s">
        <v>43</v>
      </c>
      <c r="E2545" s="4">
        <f>[1]Source!AQ2472</f>
        <v>0.37</v>
      </c>
      <c r="F2545" s="33"/>
      <c r="G2545" s="34" t="str">
        <f>[1]Source!DI2472</f>
        <v>)*1*60</v>
      </c>
      <c r="H2545" s="4">
        <f>[1]Source!AV2472</f>
        <v>1</v>
      </c>
      <c r="I2545" s="4"/>
      <c r="J2545" s="33"/>
      <c r="K2545" s="33">
        <f>[1]Source!U2472</f>
        <v>1585.5239999999999</v>
      </c>
      <c r="M2545"/>
      <c r="N2545"/>
      <c r="O2545"/>
      <c r="P2545"/>
      <c r="Q2545"/>
    </row>
    <row r="2546" spans="1:33" ht="15" x14ac:dyDescent="0.25">
      <c r="A2546" s="35"/>
      <c r="B2546" s="35"/>
      <c r="C2546" s="35"/>
      <c r="D2546" s="35"/>
      <c r="E2546" s="35"/>
      <c r="F2546" s="35"/>
      <c r="G2546" s="35"/>
      <c r="H2546" s="35"/>
      <c r="I2546" s="36">
        <f>J2542+J2543+J2544</f>
        <v>707546.52</v>
      </c>
      <c r="J2546" s="36"/>
      <c r="K2546" s="37">
        <f>IF([1]Source!I2472&lt;&gt;0, ROUND(I2546/[1]Source!I2472, 2), 0)</f>
        <v>9906.84</v>
      </c>
      <c r="M2546"/>
      <c r="N2546"/>
      <c r="O2546"/>
      <c r="P2546"/>
      <c r="Q2546"/>
      <c r="AA2546" s="38">
        <f>I2546</f>
        <v>707546.52</v>
      </c>
    </row>
    <row r="2547" spans="1:33" ht="42.75" x14ac:dyDescent="0.2">
      <c r="A2547" s="31">
        <v>343</v>
      </c>
      <c r="B2547" s="31" t="str">
        <f>[1]Source!F2473</f>
        <v>5.3-1101-15-5/1</v>
      </c>
      <c r="C2547" s="31" t="str">
        <f>[1]Source!G2473</f>
        <v>Мытье тротуаров, придомовых и внутрибольничных проездов средствами малой механизации</v>
      </c>
      <c r="D2547" s="32" t="str">
        <f>[1]Source!H2473</f>
        <v>1000 м2</v>
      </c>
      <c r="E2547" s="4">
        <f>[1]Source!I2473</f>
        <v>7.1420000000000003</v>
      </c>
      <c r="F2547" s="33"/>
      <c r="G2547" s="34"/>
      <c r="H2547" s="4"/>
      <c r="I2547" s="4"/>
      <c r="J2547" s="33"/>
      <c r="K2547" s="33"/>
      <c r="M2547"/>
      <c r="N2547"/>
      <c r="O2547"/>
      <c r="P2547"/>
      <c r="Q2547"/>
      <c r="AB2547">
        <f>ROUND(([1]Source!BZ2473/100)*ROUND(([1]Source!AF2473*[1]Source!AV2473)*[1]Source!I2473, 2), 2)</f>
        <v>0</v>
      </c>
      <c r="AC2547">
        <f>[1]Source!X2473</f>
        <v>0</v>
      </c>
      <c r="AD2547">
        <f>ROUND(([1]Source!CA2473/100)*ROUND(([1]Source!AF2473*[1]Source!AV2473)*[1]Source!I2473, 2), 2)</f>
        <v>0</v>
      </c>
      <c r="AE2547">
        <f>[1]Source!Y2473</f>
        <v>0</v>
      </c>
      <c r="AF2547">
        <f>ROUND((175/100)*ROUND(([1]Source!AE2473*[1]Source!AV2473)*[1]Source!I2473, 2), 2)</f>
        <v>7538.84</v>
      </c>
      <c r="AG2547">
        <f>ROUND((108/100)*ROUND([1]Source!CS2473*[1]Source!I2473, 2), 2)</f>
        <v>4652.54</v>
      </c>
    </row>
    <row r="2548" spans="1:33" x14ac:dyDescent="0.2">
      <c r="C2548" s="40" t="str">
        <f>"Объем: "&amp;[1]Source!I2473&amp;"=7142/"&amp;"1000"</f>
        <v>Объем: 7,142=7142/1000</v>
      </c>
      <c r="M2548"/>
      <c r="N2548"/>
      <c r="O2548"/>
      <c r="P2548"/>
      <c r="Q2548"/>
    </row>
    <row r="2549" spans="1:33" ht="14.25" x14ac:dyDescent="0.2">
      <c r="A2549" s="31"/>
      <c r="B2549" s="31"/>
      <c r="C2549" s="31" t="s">
        <v>33</v>
      </c>
      <c r="D2549" s="32"/>
      <c r="E2549" s="4"/>
      <c r="F2549" s="33">
        <f>[1]Source!AM2473</f>
        <v>738.08</v>
      </c>
      <c r="G2549" s="34" t="str">
        <f>[1]Source!DE2473</f>
        <v>)*1*2</v>
      </c>
      <c r="H2549" s="4">
        <f>[1]Source!AV2473</f>
        <v>1</v>
      </c>
      <c r="I2549" s="4">
        <f>IF([1]Source!BB2473&lt;&gt; 0, [1]Source!BB2473, 1)</f>
        <v>1</v>
      </c>
      <c r="J2549" s="33">
        <f>[1]Source!Q2473</f>
        <v>10542.73</v>
      </c>
      <c r="K2549" s="33"/>
      <c r="M2549"/>
      <c r="N2549"/>
      <c r="O2549"/>
      <c r="P2549"/>
      <c r="Q2549"/>
    </row>
    <row r="2550" spans="1:33" ht="14.25" x14ac:dyDescent="0.2">
      <c r="A2550" s="31"/>
      <c r="B2550" s="31"/>
      <c r="C2550" s="31" t="s">
        <v>37</v>
      </c>
      <c r="D2550" s="32"/>
      <c r="E2550" s="4"/>
      <c r="F2550" s="33">
        <f>[1]Source!AN2473</f>
        <v>301.58999999999997</v>
      </c>
      <c r="G2550" s="34" t="str">
        <f>[1]Source!DF2473</f>
        <v>)*1*2</v>
      </c>
      <c r="H2550" s="4">
        <f>[1]Source!AV2473</f>
        <v>1</v>
      </c>
      <c r="I2550" s="4">
        <f>IF([1]Source!BS2473&lt;&gt; 0, [1]Source!BS2473, 1)</f>
        <v>1</v>
      </c>
      <c r="J2550" s="41">
        <f>[1]Source!R2473</f>
        <v>4307.91</v>
      </c>
      <c r="K2550" s="33"/>
      <c r="M2550"/>
      <c r="N2550"/>
      <c r="O2550"/>
      <c r="P2550"/>
      <c r="Q2550"/>
    </row>
    <row r="2551" spans="1:33" ht="14.25" x14ac:dyDescent="0.2">
      <c r="A2551" s="31"/>
      <c r="B2551" s="31"/>
      <c r="C2551" s="31" t="s">
        <v>47</v>
      </c>
      <c r="D2551" s="32"/>
      <c r="E2551" s="4"/>
      <c r="F2551" s="33">
        <f>[1]Source!AL2473</f>
        <v>194.05</v>
      </c>
      <c r="G2551" s="34" t="str">
        <f>[1]Source!DD2473</f>
        <v>)*1*2</v>
      </c>
      <c r="H2551" s="4">
        <f>[1]Source!AW2473</f>
        <v>1</v>
      </c>
      <c r="I2551" s="4">
        <f>IF([1]Source!BC2473&lt;&gt; 0, [1]Source!BC2473, 1)</f>
        <v>1</v>
      </c>
      <c r="J2551" s="33">
        <f>[1]Source!P2473</f>
        <v>2771.81</v>
      </c>
      <c r="K2551" s="33"/>
      <c r="M2551"/>
      <c r="N2551"/>
      <c r="O2551"/>
      <c r="P2551"/>
      <c r="Q2551"/>
    </row>
    <row r="2552" spans="1:33" ht="14.25" x14ac:dyDescent="0.2">
      <c r="A2552" s="31" t="s">
        <v>101</v>
      </c>
      <c r="B2552" s="31" t="str">
        <f>[1]Source!F2474</f>
        <v>21.1-25-13</v>
      </c>
      <c r="C2552" s="31" t="str">
        <f>[1]Source!G2474</f>
        <v>Вода</v>
      </c>
      <c r="D2552" s="32" t="str">
        <f>[1]Source!H2474</f>
        <v>м3</v>
      </c>
      <c r="E2552" s="4">
        <f>[1]Source!I2474</f>
        <v>-15.99808</v>
      </c>
      <c r="F2552" s="33">
        <f>[1]Source!AK2474</f>
        <v>42.44</v>
      </c>
      <c r="G2552" s="39" t="s">
        <v>102</v>
      </c>
      <c r="H2552" s="4">
        <f>[1]Source!AW2474</f>
        <v>1</v>
      </c>
      <c r="I2552" s="4">
        <f>IF([1]Source!BC2474&lt;&gt; 0, [1]Source!BC2474, 1)</f>
        <v>1</v>
      </c>
      <c r="J2552" s="33">
        <f>[1]Source!O2474</f>
        <v>-678.96</v>
      </c>
      <c r="K2552" s="33"/>
      <c r="M2552"/>
      <c r="N2552"/>
      <c r="O2552"/>
      <c r="P2552"/>
      <c r="Q2552"/>
      <c r="AB2552">
        <f>ROUND(([1]Source!BZ2474/100)*ROUND(([1]Source!AF2474*[1]Source!AV2474)*[1]Source!I2474, 2), 2)</f>
        <v>0</v>
      </c>
      <c r="AC2552">
        <f>[1]Source!X2474</f>
        <v>0</v>
      </c>
      <c r="AD2552">
        <f>ROUND(([1]Source!CA2474/100)*ROUND(([1]Source!AF2474*[1]Source!AV2474)*[1]Source!I2474, 2), 2)</f>
        <v>0</v>
      </c>
      <c r="AE2552">
        <f>[1]Source!Y2474</f>
        <v>0</v>
      </c>
      <c r="AF2552">
        <f>ROUND((175/100)*ROUND(([1]Source!AE2474*[1]Source!AV2474)*[1]Source!I2474, 2), 2)</f>
        <v>0</v>
      </c>
      <c r="AG2552">
        <f>ROUND((108/100)*ROUND([1]Source!CS2474*[1]Source!I2474, 2), 2)</f>
        <v>0</v>
      </c>
    </row>
    <row r="2553" spans="1:33" ht="14.25" x14ac:dyDescent="0.2">
      <c r="A2553" s="31"/>
      <c r="B2553" s="31"/>
      <c r="C2553" s="31" t="s">
        <v>38</v>
      </c>
      <c r="D2553" s="32" t="s">
        <v>39</v>
      </c>
      <c r="E2553" s="4">
        <f>108</f>
        <v>108</v>
      </c>
      <c r="F2553" s="33"/>
      <c r="G2553" s="34"/>
      <c r="H2553" s="4"/>
      <c r="I2553" s="4"/>
      <c r="J2553" s="33">
        <f>SUM(AG2547:AG2552)</f>
        <v>4652.54</v>
      </c>
      <c r="K2553" s="33"/>
      <c r="M2553"/>
      <c r="N2553"/>
      <c r="O2553"/>
      <c r="P2553"/>
      <c r="Q2553"/>
    </row>
    <row r="2554" spans="1:33" ht="15" x14ac:dyDescent="0.25">
      <c r="A2554" s="35"/>
      <c r="B2554" s="35"/>
      <c r="C2554" s="35"/>
      <c r="D2554" s="35"/>
      <c r="E2554" s="35"/>
      <c r="F2554" s="35"/>
      <c r="G2554" s="35"/>
      <c r="H2554" s="35"/>
      <c r="I2554" s="36">
        <f>J2549+J2551+J2553+SUM(J2552:J2552)</f>
        <v>17288.12</v>
      </c>
      <c r="J2554" s="36"/>
      <c r="K2554" s="37">
        <f>IF([1]Source!I2473&lt;&gt;0, ROUND(I2554/[1]Source!I2473, 2), 0)</f>
        <v>2420.63</v>
      </c>
      <c r="M2554"/>
      <c r="N2554"/>
      <c r="O2554"/>
      <c r="P2554"/>
      <c r="Q2554"/>
      <c r="AA2554" s="38">
        <f>I2554</f>
        <v>17288.12</v>
      </c>
    </row>
    <row r="2555" spans="1:33" ht="42.75" x14ac:dyDescent="0.2">
      <c r="A2555" s="31">
        <v>344</v>
      </c>
      <c r="B2555" s="31" t="str">
        <f>[1]Source!F2475</f>
        <v>5.3-1101-15-4/1</v>
      </c>
      <c r="C2555" s="31" t="str">
        <f>[1]Source!G2475</f>
        <v>Полив тротуаров, придомовых и внутрибольничных проездов средствами малой механизации</v>
      </c>
      <c r="D2555" s="32" t="str">
        <f>[1]Source!H2475</f>
        <v>1000 м2</v>
      </c>
      <c r="E2555" s="4">
        <f>[1]Source!I2475</f>
        <v>7.1420000000000003</v>
      </c>
      <c r="F2555" s="33"/>
      <c r="G2555" s="34"/>
      <c r="H2555" s="4"/>
      <c r="I2555" s="4"/>
      <c r="J2555" s="33"/>
      <c r="K2555" s="33"/>
      <c r="M2555"/>
      <c r="N2555"/>
      <c r="O2555"/>
      <c r="P2555"/>
      <c r="Q2555"/>
      <c r="AB2555">
        <f>ROUND(([1]Source!BZ2475/100)*ROUND(([1]Source!AF2475*[1]Source!AV2475)*[1]Source!I2475, 2), 2)</f>
        <v>0</v>
      </c>
      <c r="AC2555">
        <f>[1]Source!X2475</f>
        <v>0</v>
      </c>
      <c r="AD2555">
        <f>ROUND(([1]Source!CA2475/100)*ROUND(([1]Source!AF2475*[1]Source!AV2475)*[1]Source!I2475, 2), 2)</f>
        <v>0</v>
      </c>
      <c r="AE2555">
        <f>[1]Source!Y2475</f>
        <v>0</v>
      </c>
      <c r="AF2555">
        <f>ROUND((175/100)*ROUND(([1]Source!AE2475*[1]Source!AV2475)*[1]Source!I2475, 2), 2)</f>
        <v>431768.19</v>
      </c>
      <c r="AG2555">
        <f>ROUND((108/100)*ROUND([1]Source!CS2475*[1]Source!I2475, 2), 2)</f>
        <v>266462.65000000002</v>
      </c>
    </row>
    <row r="2556" spans="1:33" x14ac:dyDescent="0.2">
      <c r="C2556" s="40" t="str">
        <f>"Объем: "&amp;[1]Source!I2475&amp;"=7142/"&amp;"1000"</f>
        <v>Объем: 7,142=7142/1000</v>
      </c>
      <c r="M2556"/>
      <c r="N2556"/>
      <c r="O2556"/>
      <c r="P2556"/>
      <c r="Q2556"/>
    </row>
    <row r="2557" spans="1:33" ht="14.25" x14ac:dyDescent="0.2">
      <c r="A2557" s="31"/>
      <c r="B2557" s="31"/>
      <c r="C2557" s="31" t="s">
        <v>33</v>
      </c>
      <c r="D2557" s="32"/>
      <c r="E2557" s="4"/>
      <c r="F2557" s="33">
        <f>[1]Source!AM2475</f>
        <v>469.69</v>
      </c>
      <c r="G2557" s="34" t="str">
        <f>[1]Source!DE2475</f>
        <v>)*2*90</v>
      </c>
      <c r="H2557" s="4">
        <f>[1]Source!AV2475</f>
        <v>1</v>
      </c>
      <c r="I2557" s="4">
        <f>IF([1]Source!BB2475&lt;&gt; 0, [1]Source!BB2475, 1)</f>
        <v>1</v>
      </c>
      <c r="J2557" s="33">
        <f>[1]Source!Q2475</f>
        <v>603814.68000000005</v>
      </c>
      <c r="K2557" s="33"/>
      <c r="M2557"/>
      <c r="N2557"/>
      <c r="O2557"/>
      <c r="P2557"/>
      <c r="Q2557"/>
    </row>
    <row r="2558" spans="1:33" ht="14.25" x14ac:dyDescent="0.2">
      <c r="A2558" s="31"/>
      <c r="B2558" s="31"/>
      <c r="C2558" s="31" t="s">
        <v>37</v>
      </c>
      <c r="D2558" s="32"/>
      <c r="E2558" s="4"/>
      <c r="F2558" s="33">
        <f>[1]Source!AN2475</f>
        <v>191.92</v>
      </c>
      <c r="G2558" s="34" t="str">
        <f>[1]Source!DF2475</f>
        <v>)*2*90</v>
      </c>
      <c r="H2558" s="4">
        <f>[1]Source!AV2475</f>
        <v>1</v>
      </c>
      <c r="I2558" s="4">
        <f>IF([1]Source!BS2475&lt;&gt; 0, [1]Source!BS2475, 1)</f>
        <v>1</v>
      </c>
      <c r="J2558" s="41">
        <f>[1]Source!R2475</f>
        <v>246724.68</v>
      </c>
      <c r="K2558" s="33"/>
      <c r="M2558"/>
      <c r="N2558"/>
      <c r="O2558"/>
      <c r="P2558"/>
      <c r="Q2558"/>
    </row>
    <row r="2559" spans="1:33" ht="14.25" x14ac:dyDescent="0.2">
      <c r="A2559" s="31"/>
      <c r="B2559" s="31"/>
      <c r="C2559" s="31" t="s">
        <v>47</v>
      </c>
      <c r="D2559" s="32"/>
      <c r="E2559" s="4"/>
      <c r="F2559" s="33">
        <f>[1]Source!AL2475</f>
        <v>14.85</v>
      </c>
      <c r="G2559" s="34" t="str">
        <f>[1]Source!DD2475</f>
        <v>)*2*90</v>
      </c>
      <c r="H2559" s="4">
        <f>[1]Source!AW2475</f>
        <v>1</v>
      </c>
      <c r="I2559" s="4">
        <f>IF([1]Source!BC2475&lt;&gt; 0, [1]Source!BC2475, 1)</f>
        <v>1</v>
      </c>
      <c r="J2559" s="33">
        <f>[1]Source!P2475</f>
        <v>19090.57</v>
      </c>
      <c r="K2559" s="33"/>
      <c r="M2559"/>
      <c r="N2559"/>
      <c r="O2559"/>
      <c r="P2559"/>
      <c r="Q2559"/>
    </row>
    <row r="2560" spans="1:33" ht="14.25" x14ac:dyDescent="0.2">
      <c r="A2560" s="31" t="s">
        <v>103</v>
      </c>
      <c r="B2560" s="31" t="str">
        <f>[1]Source!F2476</f>
        <v>21.1-25-13</v>
      </c>
      <c r="C2560" s="31" t="str">
        <f>[1]Source!G2476</f>
        <v>Вода</v>
      </c>
      <c r="D2560" s="32" t="str">
        <f>[1]Source!H2476</f>
        <v>м3</v>
      </c>
      <c r="E2560" s="4">
        <f>[1]Source!I2476</f>
        <v>-449.94600000000003</v>
      </c>
      <c r="F2560" s="33">
        <f>[1]Source!AK2476</f>
        <v>42.44</v>
      </c>
      <c r="G2560" s="39" t="s">
        <v>104</v>
      </c>
      <c r="H2560" s="4">
        <f>[1]Source!AW2476</f>
        <v>1</v>
      </c>
      <c r="I2560" s="4">
        <f>IF([1]Source!BC2476&lt;&gt; 0, [1]Source!BC2476, 1)</f>
        <v>1</v>
      </c>
      <c r="J2560" s="33">
        <f>[1]Source!O2476</f>
        <v>-19095.71</v>
      </c>
      <c r="K2560" s="33"/>
      <c r="M2560"/>
      <c r="N2560"/>
      <c r="O2560"/>
      <c r="P2560"/>
      <c r="Q2560"/>
      <c r="AB2560">
        <f>ROUND(([1]Source!BZ2476/100)*ROUND(([1]Source!AF2476*[1]Source!AV2476)*[1]Source!I2476, 2), 2)</f>
        <v>0</v>
      </c>
      <c r="AC2560">
        <f>[1]Source!X2476</f>
        <v>0</v>
      </c>
      <c r="AD2560">
        <f>ROUND(([1]Source!CA2476/100)*ROUND(([1]Source!AF2476*[1]Source!AV2476)*[1]Source!I2476, 2), 2)</f>
        <v>0</v>
      </c>
      <c r="AE2560">
        <f>[1]Source!Y2476</f>
        <v>0</v>
      </c>
      <c r="AF2560">
        <f>ROUND((175/100)*ROUND(([1]Source!AE2476*[1]Source!AV2476)*[1]Source!I2476, 2), 2)</f>
        <v>0</v>
      </c>
      <c r="AG2560">
        <f>ROUND((108/100)*ROUND([1]Source!CS2476*[1]Source!I2476, 2), 2)</f>
        <v>0</v>
      </c>
    </row>
    <row r="2561" spans="1:43" ht="14.25" x14ac:dyDescent="0.2">
      <c r="A2561" s="31"/>
      <c r="B2561" s="31"/>
      <c r="C2561" s="31" t="s">
        <v>38</v>
      </c>
      <c r="D2561" s="32" t="s">
        <v>39</v>
      </c>
      <c r="E2561" s="4">
        <f>108</f>
        <v>108</v>
      </c>
      <c r="F2561" s="33"/>
      <c r="G2561" s="34"/>
      <c r="H2561" s="4"/>
      <c r="I2561" s="4"/>
      <c r="J2561" s="33">
        <f>SUM(AG2555:AG2560)</f>
        <v>266462.65000000002</v>
      </c>
      <c r="K2561" s="33"/>
      <c r="M2561"/>
      <c r="N2561"/>
      <c r="O2561"/>
      <c r="P2561"/>
      <c r="Q2561"/>
    </row>
    <row r="2562" spans="1:43" ht="15" x14ac:dyDescent="0.25">
      <c r="A2562" s="35"/>
      <c r="B2562" s="35"/>
      <c r="C2562" s="35"/>
      <c r="D2562" s="35"/>
      <c r="E2562" s="35"/>
      <c r="F2562" s="35"/>
      <c r="G2562" s="35"/>
      <c r="H2562" s="35"/>
      <c r="I2562" s="36">
        <f>J2557+J2559+J2561+SUM(J2560:J2560)</f>
        <v>870272.19000000006</v>
      </c>
      <c r="J2562" s="36"/>
      <c r="K2562" s="37">
        <f>IF([1]Source!I2475&lt;&gt;0, ROUND(I2562/[1]Source!I2475, 2), 0)</f>
        <v>121852.73</v>
      </c>
      <c r="M2562"/>
      <c r="N2562"/>
      <c r="O2562"/>
      <c r="P2562"/>
      <c r="Q2562"/>
      <c r="AA2562" s="38">
        <f>I2562</f>
        <v>870272.19000000006</v>
      </c>
    </row>
    <row r="2563" spans="1:43" x14ac:dyDescent="0.2">
      <c r="M2563"/>
      <c r="N2563"/>
      <c r="O2563"/>
      <c r="P2563"/>
      <c r="Q2563"/>
    </row>
    <row r="2564" spans="1:43" ht="30" x14ac:dyDescent="0.25">
      <c r="A2564" s="42" t="str">
        <f>CONCATENATE("Итого по разделу: ",IF([1]Source!G2478&lt;&gt;"Новый раздел", [1]Source!G2478, ""))</f>
        <v>Итого по разделу: Содержание   садово-парковых дорожек с мощением, рассчитанным на нагрузку 16т\ось ( 7142 м2)</v>
      </c>
      <c r="B2564" s="42"/>
      <c r="C2564" s="42"/>
      <c r="D2564" s="42"/>
      <c r="E2564" s="42"/>
      <c r="F2564" s="42"/>
      <c r="G2564" s="42"/>
      <c r="H2564" s="42"/>
      <c r="I2564" s="43">
        <f>SUM(AA2524:AA2563)</f>
        <v>5695047.5300000012</v>
      </c>
      <c r="J2564" s="44"/>
      <c r="K2564" s="47"/>
      <c r="L2564" s="38">
        <f>I2564</f>
        <v>5695047.5300000012</v>
      </c>
      <c r="M2564" s="2">
        <f>ROUND(I2564*$I$4874,2)</f>
        <v>4113002.32</v>
      </c>
      <c r="N2564" s="2">
        <f>ROUND(M2564*1.2/105*100,2)</f>
        <v>4700574.08</v>
      </c>
      <c r="O2564" s="2">
        <f>ROUND(N2564*0.05,2)</f>
        <v>235028.7</v>
      </c>
      <c r="P2564" s="2">
        <f>N2564+O2564</f>
        <v>4935602.78</v>
      </c>
      <c r="Q2564" s="3">
        <v>71</v>
      </c>
      <c r="R2564">
        <v>2</v>
      </c>
      <c r="S2564" s="2">
        <v>0</v>
      </c>
      <c r="AQ2564" s="46" t="str">
        <f>CONCATENATE("Итого по разделу: ",IF([1]Source!G2478&lt;&gt;"Новый раздел", [1]Source!G2478, ""))</f>
        <v>Итого по разделу: Содержание   садово-парковых дорожек с мощением, рассчитанным на нагрузку 16т\ось ( 7142 м2)</v>
      </c>
    </row>
    <row r="2565" spans="1:43" x14ac:dyDescent="0.2">
      <c r="M2565"/>
      <c r="N2565"/>
      <c r="O2565"/>
      <c r="P2565"/>
      <c r="Q2565"/>
    </row>
    <row r="2566" spans="1:43" x14ac:dyDescent="0.2">
      <c r="M2566"/>
      <c r="N2566"/>
      <c r="O2566"/>
      <c r="P2566"/>
      <c r="Q2566"/>
    </row>
    <row r="2567" spans="1:43" ht="16.5" x14ac:dyDescent="0.25">
      <c r="A2567" s="29" t="str">
        <f>CONCATENATE("Раздел: ",IF([1]Source!G2508&lt;&gt;"Новый раздел", [1]Source!G2508, ""))</f>
        <v>Раздел: Содержание дорожек с мощением , рассчитанным на нагрузку 16тн/ось ( 3712 м2 )( МКЗ)</v>
      </c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M2567"/>
      <c r="N2567"/>
      <c r="O2567"/>
      <c r="P2567"/>
      <c r="Q2567"/>
    </row>
    <row r="2568" spans="1:43" ht="57" x14ac:dyDescent="0.2">
      <c r="A2568" s="31">
        <v>345</v>
      </c>
      <c r="B2568" s="31" t="str">
        <f>[1]Source!F2512</f>
        <v>5.3-1101-15-1/1</v>
      </c>
      <c r="C2568" s="31" t="str">
        <f>[1]Source!G2512</f>
        <v>Подметание тротуаров, придомовых и внутрибольничных проездов средствами малой механизации ( 3712 м2*0,7=2598,4м2)</v>
      </c>
      <c r="D2568" s="32" t="str">
        <f>[1]Source!H2512</f>
        <v>1000 м2</v>
      </c>
      <c r="E2568" s="4">
        <f>[1]Source!I2512</f>
        <v>2.5983999999999998</v>
      </c>
      <c r="F2568" s="33"/>
      <c r="G2568" s="34"/>
      <c r="H2568" s="4"/>
      <c r="I2568" s="4"/>
      <c r="J2568" s="33"/>
      <c r="K2568" s="33"/>
      <c r="M2568"/>
      <c r="N2568"/>
      <c r="O2568"/>
      <c r="P2568"/>
      <c r="Q2568"/>
      <c r="AB2568">
        <f>ROUND(([1]Source!BZ2512/100)*ROUND(([1]Source!AF2512*[1]Source!AV2512)*[1]Source!I2512, 2), 2)</f>
        <v>0</v>
      </c>
      <c r="AC2568">
        <f>[1]Source!X2512</f>
        <v>0</v>
      </c>
      <c r="AD2568">
        <f>ROUND(([1]Source!CA2512/100)*ROUND(([1]Source!AF2512*[1]Source!AV2512)*[1]Source!I2512, 2), 2)</f>
        <v>0</v>
      </c>
      <c r="AE2568">
        <f>[1]Source!Y2512</f>
        <v>0</v>
      </c>
      <c r="AF2568">
        <f>ROUND((175/100)*ROUND(([1]Source!AE2512*[1]Source!AV2512)*[1]Source!I2512, 2), 2)</f>
        <v>645061.88</v>
      </c>
      <c r="AG2568">
        <f>ROUND((108/100)*ROUND([1]Source!CS2512*[1]Source!I2512, 2), 2)</f>
        <v>398095.33</v>
      </c>
    </row>
    <row r="2569" spans="1:43" x14ac:dyDescent="0.2">
      <c r="C2569" s="40" t="str">
        <f>"Объем: "&amp;[1]Source!I2512&amp;"=2598,4/"&amp;"1000"</f>
        <v>Объем: 2,5984=2598,4/1000</v>
      </c>
      <c r="M2569"/>
      <c r="N2569"/>
      <c r="O2569"/>
      <c r="P2569"/>
      <c r="Q2569"/>
    </row>
    <row r="2570" spans="1:43" ht="14.25" x14ac:dyDescent="0.2">
      <c r="A2570" s="31"/>
      <c r="B2570" s="31"/>
      <c r="C2570" s="31" t="s">
        <v>33</v>
      </c>
      <c r="D2570" s="32"/>
      <c r="E2570" s="4"/>
      <c r="F2570" s="33">
        <f>[1]Source!AM2512</f>
        <v>290.76</v>
      </c>
      <c r="G2570" s="34" t="str">
        <f>[1]Source!DE2512</f>
        <v>)*3*398</v>
      </c>
      <c r="H2570" s="4">
        <f>[1]Source!AV2512</f>
        <v>1</v>
      </c>
      <c r="I2570" s="4">
        <f>IF([1]Source!BB2512&lt;&gt; 0, [1]Source!BB2512, 1)</f>
        <v>1</v>
      </c>
      <c r="J2570" s="33">
        <f>[1]Source!Q2512</f>
        <v>902079.88</v>
      </c>
      <c r="K2570" s="33"/>
      <c r="M2570"/>
      <c r="N2570"/>
      <c r="O2570"/>
      <c r="P2570"/>
      <c r="Q2570"/>
    </row>
    <row r="2571" spans="1:43" ht="14.25" x14ac:dyDescent="0.2">
      <c r="A2571" s="31"/>
      <c r="B2571" s="31"/>
      <c r="C2571" s="31" t="s">
        <v>37</v>
      </c>
      <c r="D2571" s="32"/>
      <c r="E2571" s="4"/>
      <c r="F2571" s="33">
        <f>[1]Source!AN2512</f>
        <v>118.81</v>
      </c>
      <c r="G2571" s="34" t="str">
        <f>[1]Source!DF2512</f>
        <v>)*3*398</v>
      </c>
      <c r="H2571" s="4">
        <f>[1]Source!AV2512</f>
        <v>1</v>
      </c>
      <c r="I2571" s="4">
        <f>IF([1]Source!BS2512&lt;&gt; 0, [1]Source!BS2512, 1)</f>
        <v>1</v>
      </c>
      <c r="J2571" s="41">
        <f>[1]Source!R2512</f>
        <v>368606.79</v>
      </c>
      <c r="K2571" s="33"/>
      <c r="M2571"/>
      <c r="N2571"/>
      <c r="O2571"/>
      <c r="P2571"/>
      <c r="Q2571"/>
    </row>
    <row r="2572" spans="1:43" ht="14.25" x14ac:dyDescent="0.2">
      <c r="A2572" s="31"/>
      <c r="B2572" s="31"/>
      <c r="C2572" s="31" t="s">
        <v>47</v>
      </c>
      <c r="D2572" s="32"/>
      <c r="E2572" s="4"/>
      <c r="F2572" s="33">
        <f>[1]Source!AL2512</f>
        <v>8.49</v>
      </c>
      <c r="G2572" s="34" t="str">
        <f>[1]Source!DD2512</f>
        <v>)*3*398</v>
      </c>
      <c r="H2572" s="4">
        <f>[1]Source!AW2512</f>
        <v>1</v>
      </c>
      <c r="I2572" s="4">
        <f>IF([1]Source!BC2512&lt;&gt; 0, [1]Source!BC2512, 1)</f>
        <v>1</v>
      </c>
      <c r="J2572" s="33">
        <f>[1]Source!P2512</f>
        <v>26340.14</v>
      </c>
      <c r="K2572" s="33"/>
      <c r="M2572"/>
      <c r="N2572"/>
      <c r="O2572"/>
      <c r="P2572"/>
      <c r="Q2572"/>
    </row>
    <row r="2573" spans="1:43" ht="14.25" x14ac:dyDescent="0.2">
      <c r="A2573" s="31" t="s">
        <v>105</v>
      </c>
      <c r="B2573" s="31" t="str">
        <f>[1]Source!F2513</f>
        <v>21.1-25-13</v>
      </c>
      <c r="C2573" s="31" t="str">
        <f>[1]Source!G2513</f>
        <v>Вода</v>
      </c>
      <c r="D2573" s="32" t="str">
        <f>[1]Source!H2513</f>
        <v>м3</v>
      </c>
      <c r="E2573" s="4">
        <f>[1]Source!I2513</f>
        <v>-620.49792000000002</v>
      </c>
      <c r="F2573" s="33">
        <f>[1]Source!AK2513</f>
        <v>42.44</v>
      </c>
      <c r="G2573" s="39" t="s">
        <v>100</v>
      </c>
      <c r="H2573" s="4">
        <f>[1]Source!AW2513</f>
        <v>1</v>
      </c>
      <c r="I2573" s="4">
        <f>IF([1]Source!BC2513&lt;&gt; 0, [1]Source!BC2513, 1)</f>
        <v>1</v>
      </c>
      <c r="J2573" s="33">
        <f>[1]Source!O2513</f>
        <v>-26333.93</v>
      </c>
      <c r="K2573" s="33"/>
      <c r="M2573"/>
      <c r="N2573"/>
      <c r="O2573"/>
      <c r="P2573"/>
      <c r="Q2573"/>
      <c r="AB2573">
        <f>ROUND(([1]Source!BZ2513/100)*ROUND(([1]Source!AF2513*[1]Source!AV2513)*[1]Source!I2513, 2), 2)</f>
        <v>0</v>
      </c>
      <c r="AC2573">
        <f>[1]Source!X2513</f>
        <v>0</v>
      </c>
      <c r="AD2573">
        <f>ROUND(([1]Source!CA2513/100)*ROUND(([1]Source!AF2513*[1]Source!AV2513)*[1]Source!I2513, 2), 2)</f>
        <v>0</v>
      </c>
      <c r="AE2573">
        <f>[1]Source!Y2513</f>
        <v>0</v>
      </c>
      <c r="AF2573">
        <f>ROUND((175/100)*ROUND(([1]Source!AE2513*[1]Source!AV2513)*[1]Source!I2513, 2), 2)</f>
        <v>0</v>
      </c>
      <c r="AG2573">
        <f>ROUND((108/100)*ROUND([1]Source!CS2513*[1]Source!I2513, 2), 2)</f>
        <v>0</v>
      </c>
    </row>
    <row r="2574" spans="1:43" ht="14.25" x14ac:dyDescent="0.2">
      <c r="A2574" s="31"/>
      <c r="B2574" s="31"/>
      <c r="C2574" s="31" t="s">
        <v>38</v>
      </c>
      <c r="D2574" s="32" t="s">
        <v>39</v>
      </c>
      <c r="E2574" s="4">
        <f>108</f>
        <v>108</v>
      </c>
      <c r="F2574" s="33"/>
      <c r="G2574" s="34"/>
      <c r="H2574" s="4"/>
      <c r="I2574" s="4"/>
      <c r="J2574" s="33">
        <f>SUM(AG2568:AG2573)</f>
        <v>398095.33</v>
      </c>
      <c r="K2574" s="33"/>
      <c r="M2574"/>
      <c r="N2574"/>
      <c r="O2574"/>
      <c r="P2574"/>
      <c r="Q2574"/>
    </row>
    <row r="2575" spans="1:43" ht="15" x14ac:dyDescent="0.25">
      <c r="A2575" s="35"/>
      <c r="B2575" s="35"/>
      <c r="C2575" s="35"/>
      <c r="D2575" s="35"/>
      <c r="E2575" s="35"/>
      <c r="F2575" s="35"/>
      <c r="G2575" s="35"/>
      <c r="H2575" s="35"/>
      <c r="I2575" s="36">
        <f>J2570+J2572+J2574+SUM(J2573:J2573)</f>
        <v>1300181.4200000002</v>
      </c>
      <c r="J2575" s="36"/>
      <c r="K2575" s="37">
        <f>IF([1]Source!I2512&lt;&gt;0, ROUND(I2575/[1]Source!I2512, 2), 0)</f>
        <v>500377.7</v>
      </c>
      <c r="M2575"/>
      <c r="N2575"/>
      <c r="O2575"/>
      <c r="P2575"/>
      <c r="Q2575"/>
      <c r="AA2575" s="38">
        <f>I2575</f>
        <v>1300181.4200000002</v>
      </c>
    </row>
    <row r="2576" spans="1:43" ht="42.75" x14ac:dyDescent="0.2">
      <c r="A2576" s="31">
        <v>346</v>
      </c>
      <c r="B2576" s="31" t="str">
        <f>[1]Source!F2514</f>
        <v>5.3-1101-13-1/1</v>
      </c>
      <c r="C2576" s="31" t="str">
        <f>[1]Source!G2514</f>
        <v>Подметание вручную дорожек и площадок с твердым покрытием ( 3712м2*0,3=1113,6м2)</v>
      </c>
      <c r="D2576" s="32" t="str">
        <f>[1]Source!H2514</f>
        <v>100 м2</v>
      </c>
      <c r="E2576" s="4">
        <f>[1]Source!I2514</f>
        <v>11.135999999999999</v>
      </c>
      <c r="F2576" s="33"/>
      <c r="G2576" s="34"/>
      <c r="H2576" s="4"/>
      <c r="I2576" s="4"/>
      <c r="J2576" s="33"/>
      <c r="K2576" s="33"/>
      <c r="M2576"/>
      <c r="N2576"/>
      <c r="O2576"/>
      <c r="P2576"/>
      <c r="Q2576"/>
      <c r="AB2576">
        <f>ROUND(([1]Source!BZ2514/100)*ROUND(([1]Source!AF2514*[1]Source!AV2514)*[1]Source!I2514, 2), 2)</f>
        <v>323062.24</v>
      </c>
      <c r="AC2576">
        <f>[1]Source!X2514</f>
        <v>323062.24</v>
      </c>
      <c r="AD2576">
        <f>ROUND(([1]Source!CA2514/100)*ROUND(([1]Source!AF2514*[1]Source!AV2514)*[1]Source!I2514, 2), 2)</f>
        <v>46151.75</v>
      </c>
      <c r="AE2576">
        <f>[1]Source!Y2514</f>
        <v>46151.75</v>
      </c>
      <c r="AF2576">
        <f>ROUND((175/100)*ROUND(([1]Source!AE2514*[1]Source!AV2514)*[1]Source!I2514, 2), 2)</f>
        <v>0</v>
      </c>
      <c r="AG2576">
        <f>ROUND((108/100)*ROUND([1]Source!CS2514*[1]Source!I2514, 2), 2)</f>
        <v>0</v>
      </c>
    </row>
    <row r="2577" spans="1:33" x14ac:dyDescent="0.2">
      <c r="C2577" s="40" t="str">
        <f>"Объем: "&amp;[1]Source!I2514&amp;"=1113,6/"&amp;"100"</f>
        <v>Объем: 11,136=1113,6/100</v>
      </c>
      <c r="M2577"/>
      <c r="N2577"/>
      <c r="O2577"/>
      <c r="P2577"/>
      <c r="Q2577"/>
    </row>
    <row r="2578" spans="1:33" ht="14.25" x14ac:dyDescent="0.2">
      <c r="A2578" s="31"/>
      <c r="B2578" s="31"/>
      <c r="C2578" s="31" t="s">
        <v>34</v>
      </c>
      <c r="D2578" s="32"/>
      <c r="E2578" s="4"/>
      <c r="F2578" s="33">
        <f>[1]Source!AO2514</f>
        <v>34.71</v>
      </c>
      <c r="G2578" s="34" t="str">
        <f>[1]Source!DG2514</f>
        <v>)*3*398</v>
      </c>
      <c r="H2578" s="4">
        <f>[1]Source!AV2514</f>
        <v>1</v>
      </c>
      <c r="I2578" s="4">
        <f>IF([1]Source!BA2514&lt;&gt; 0, [1]Source!BA2514, 1)</f>
        <v>1</v>
      </c>
      <c r="J2578" s="33">
        <f>[1]Source!S2514</f>
        <v>461517.49</v>
      </c>
      <c r="K2578" s="33"/>
      <c r="M2578"/>
      <c r="N2578"/>
      <c r="O2578"/>
      <c r="P2578"/>
      <c r="Q2578"/>
    </row>
    <row r="2579" spans="1:33" ht="14.25" x14ac:dyDescent="0.2">
      <c r="A2579" s="31"/>
      <c r="B2579" s="31"/>
      <c r="C2579" s="31" t="s">
        <v>40</v>
      </c>
      <c r="D2579" s="32" t="s">
        <v>39</v>
      </c>
      <c r="E2579" s="4">
        <f>[1]Source!AT2514</f>
        <v>70</v>
      </c>
      <c r="F2579" s="33"/>
      <c r="G2579" s="34"/>
      <c r="H2579" s="4"/>
      <c r="I2579" s="4"/>
      <c r="J2579" s="33">
        <f>SUM(AC2576:AC2578)</f>
        <v>323062.24</v>
      </c>
      <c r="K2579" s="33"/>
      <c r="M2579"/>
      <c r="N2579"/>
      <c r="O2579"/>
      <c r="P2579"/>
      <c r="Q2579"/>
    </row>
    <row r="2580" spans="1:33" ht="14.25" x14ac:dyDescent="0.2">
      <c r="A2580" s="31"/>
      <c r="B2580" s="31"/>
      <c r="C2580" s="31" t="s">
        <v>41</v>
      </c>
      <c r="D2580" s="32" t="s">
        <v>39</v>
      </c>
      <c r="E2580" s="4">
        <f>[1]Source!AU2514</f>
        <v>10</v>
      </c>
      <c r="F2580" s="33"/>
      <c r="G2580" s="34"/>
      <c r="H2580" s="4"/>
      <c r="I2580" s="4"/>
      <c r="J2580" s="33">
        <f>SUM(AE2576:AE2579)</f>
        <v>46151.75</v>
      </c>
      <c r="K2580" s="33"/>
      <c r="M2580"/>
      <c r="N2580"/>
      <c r="O2580"/>
      <c r="P2580"/>
      <c r="Q2580"/>
    </row>
    <row r="2581" spans="1:33" ht="14.25" x14ac:dyDescent="0.2">
      <c r="A2581" s="31"/>
      <c r="B2581" s="31"/>
      <c r="C2581" s="31" t="s">
        <v>42</v>
      </c>
      <c r="D2581" s="32" t="s">
        <v>43</v>
      </c>
      <c r="E2581" s="4">
        <f>[1]Source!AQ2514</f>
        <v>0.14000000000000001</v>
      </c>
      <c r="F2581" s="33"/>
      <c r="G2581" s="34" t="str">
        <f>[1]Source!DI2514</f>
        <v>)*3*398</v>
      </c>
      <c r="H2581" s="4">
        <f>[1]Source!AV2514</f>
        <v>1</v>
      </c>
      <c r="I2581" s="4"/>
      <c r="J2581" s="33"/>
      <c r="K2581" s="33">
        <f>[1]Source!U2514</f>
        <v>1861.4937600000001</v>
      </c>
      <c r="M2581"/>
      <c r="N2581"/>
      <c r="O2581"/>
      <c r="P2581"/>
      <c r="Q2581"/>
    </row>
    <row r="2582" spans="1:33" ht="15" x14ac:dyDescent="0.25">
      <c r="A2582" s="35"/>
      <c r="B2582" s="35"/>
      <c r="C2582" s="35"/>
      <c r="D2582" s="35"/>
      <c r="E2582" s="35"/>
      <c r="F2582" s="35"/>
      <c r="G2582" s="35"/>
      <c r="H2582" s="35"/>
      <c r="I2582" s="36">
        <f>J2578+J2579+J2580</f>
        <v>830731.48</v>
      </c>
      <c r="J2582" s="36"/>
      <c r="K2582" s="37">
        <f>IF([1]Source!I2514&lt;&gt;0, ROUND(I2582/[1]Source!I2514, 2), 0)</f>
        <v>74598.73</v>
      </c>
      <c r="M2582"/>
      <c r="N2582"/>
      <c r="O2582"/>
      <c r="P2582"/>
      <c r="Q2582"/>
      <c r="AA2582" s="38">
        <f>I2582</f>
        <v>830731.48</v>
      </c>
    </row>
    <row r="2583" spans="1:33" ht="28.5" x14ac:dyDescent="0.2">
      <c r="A2583" s="31">
        <v>347</v>
      </c>
      <c r="B2583" s="31" t="str">
        <f>[1]Source!F2515</f>
        <v>5.3-1101-13-3/1</v>
      </c>
      <c r="C2583" s="31" t="str">
        <f>[1]Source!G2515</f>
        <v>Подметание вручную дорожек и площадок в дни листопада</v>
      </c>
      <c r="D2583" s="32" t="str">
        <f>[1]Source!H2515</f>
        <v>100 м2</v>
      </c>
      <c r="E2583" s="4">
        <f>[1]Source!I2515</f>
        <v>37.119999999999997</v>
      </c>
      <c r="F2583" s="33"/>
      <c r="G2583" s="34"/>
      <c r="H2583" s="4"/>
      <c r="I2583" s="4"/>
      <c r="J2583" s="33"/>
      <c r="K2583" s="33"/>
      <c r="M2583"/>
      <c r="N2583"/>
      <c r="O2583"/>
      <c r="P2583"/>
      <c r="Q2583"/>
      <c r="AB2583">
        <f>ROUND(([1]Source!BZ2515/100)*ROUND(([1]Source!AF2515*[1]Source!AV2515)*[1]Source!I2515, 2), 2)</f>
        <v>143010.74</v>
      </c>
      <c r="AC2583">
        <f>[1]Source!X2515</f>
        <v>143010.74</v>
      </c>
      <c r="AD2583">
        <f>ROUND(([1]Source!CA2515/100)*ROUND(([1]Source!AF2515*[1]Source!AV2515)*[1]Source!I2515, 2), 2)</f>
        <v>20430.11</v>
      </c>
      <c r="AE2583">
        <f>[1]Source!Y2515</f>
        <v>20430.11</v>
      </c>
      <c r="AF2583">
        <f>ROUND((175/100)*ROUND(([1]Source!AE2515*[1]Source!AV2515)*[1]Source!I2515, 2), 2)</f>
        <v>0</v>
      </c>
      <c r="AG2583">
        <f>ROUND((108/100)*ROUND([1]Source!CS2515*[1]Source!I2515, 2), 2)</f>
        <v>0</v>
      </c>
    </row>
    <row r="2584" spans="1:33" x14ac:dyDescent="0.2">
      <c r="C2584" s="40" t="str">
        <f>"Объем: "&amp;[1]Source!I2515&amp;"=3712/"&amp;"100"</f>
        <v>Объем: 37,12=3712/100</v>
      </c>
      <c r="M2584"/>
      <c r="N2584"/>
      <c r="O2584"/>
      <c r="P2584"/>
      <c r="Q2584"/>
    </row>
    <row r="2585" spans="1:33" ht="14.25" x14ac:dyDescent="0.2">
      <c r="A2585" s="31"/>
      <c r="B2585" s="31"/>
      <c r="C2585" s="31" t="s">
        <v>34</v>
      </c>
      <c r="D2585" s="32"/>
      <c r="E2585" s="4"/>
      <c r="F2585" s="33">
        <f>[1]Source!AO2515</f>
        <v>91.73</v>
      </c>
      <c r="G2585" s="34" t="str">
        <f>[1]Source!DG2515</f>
        <v>)*1*60</v>
      </c>
      <c r="H2585" s="4">
        <f>[1]Source!AV2515</f>
        <v>1</v>
      </c>
      <c r="I2585" s="4">
        <f>IF([1]Source!BA2515&lt;&gt; 0, [1]Source!BA2515, 1)</f>
        <v>1</v>
      </c>
      <c r="J2585" s="33">
        <f>[1]Source!S2515</f>
        <v>204301.06</v>
      </c>
      <c r="K2585" s="33"/>
      <c r="M2585"/>
      <c r="N2585"/>
      <c r="O2585"/>
      <c r="P2585"/>
      <c r="Q2585"/>
    </row>
    <row r="2586" spans="1:33" ht="14.25" x14ac:dyDescent="0.2">
      <c r="A2586" s="31"/>
      <c r="B2586" s="31"/>
      <c r="C2586" s="31" t="s">
        <v>40</v>
      </c>
      <c r="D2586" s="32" t="s">
        <v>39</v>
      </c>
      <c r="E2586" s="4">
        <f>[1]Source!AT2515</f>
        <v>70</v>
      </c>
      <c r="F2586" s="33"/>
      <c r="G2586" s="34"/>
      <c r="H2586" s="4"/>
      <c r="I2586" s="4"/>
      <c r="J2586" s="33">
        <f>SUM(AC2583:AC2585)</f>
        <v>143010.74</v>
      </c>
      <c r="K2586" s="33"/>
      <c r="M2586"/>
      <c r="N2586"/>
      <c r="O2586"/>
      <c r="P2586"/>
      <c r="Q2586"/>
    </row>
    <row r="2587" spans="1:33" ht="14.25" x14ac:dyDescent="0.2">
      <c r="A2587" s="31"/>
      <c r="B2587" s="31"/>
      <c r="C2587" s="31" t="s">
        <v>41</v>
      </c>
      <c r="D2587" s="32" t="s">
        <v>39</v>
      </c>
      <c r="E2587" s="4">
        <f>[1]Source!AU2515</f>
        <v>10</v>
      </c>
      <c r="F2587" s="33"/>
      <c r="G2587" s="34"/>
      <c r="H2587" s="4"/>
      <c r="I2587" s="4"/>
      <c r="J2587" s="33">
        <f>SUM(AE2583:AE2586)</f>
        <v>20430.11</v>
      </c>
      <c r="K2587" s="33"/>
      <c r="M2587"/>
      <c r="N2587"/>
      <c r="O2587"/>
      <c r="P2587"/>
      <c r="Q2587"/>
    </row>
    <row r="2588" spans="1:33" ht="14.25" x14ac:dyDescent="0.2">
      <c r="A2588" s="31"/>
      <c r="B2588" s="31"/>
      <c r="C2588" s="31" t="s">
        <v>42</v>
      </c>
      <c r="D2588" s="32" t="s">
        <v>43</v>
      </c>
      <c r="E2588" s="4">
        <f>[1]Source!AQ2515</f>
        <v>0.37</v>
      </c>
      <c r="F2588" s="33"/>
      <c r="G2588" s="34" t="str">
        <f>[1]Source!DI2515</f>
        <v>)*1*60</v>
      </c>
      <c r="H2588" s="4">
        <f>[1]Source!AV2515</f>
        <v>1</v>
      </c>
      <c r="I2588" s="4"/>
      <c r="J2588" s="33"/>
      <c r="K2588" s="33">
        <f>[1]Source!U2515</f>
        <v>824.06399999999996</v>
      </c>
      <c r="M2588"/>
      <c r="N2588"/>
      <c r="O2588"/>
      <c r="P2588"/>
      <c r="Q2588"/>
    </row>
    <row r="2589" spans="1:33" ht="15" x14ac:dyDescent="0.25">
      <c r="A2589" s="35"/>
      <c r="B2589" s="35"/>
      <c r="C2589" s="35"/>
      <c r="D2589" s="35"/>
      <c r="E2589" s="35"/>
      <c r="F2589" s="35"/>
      <c r="G2589" s="35"/>
      <c r="H2589" s="35"/>
      <c r="I2589" s="36">
        <f>J2585+J2586+J2587</f>
        <v>367741.91</v>
      </c>
      <c r="J2589" s="36"/>
      <c r="K2589" s="37">
        <f>IF([1]Source!I2515&lt;&gt;0, ROUND(I2589/[1]Source!I2515, 2), 0)</f>
        <v>9906.84</v>
      </c>
      <c r="M2589"/>
      <c r="N2589"/>
      <c r="O2589"/>
      <c r="P2589"/>
      <c r="Q2589"/>
      <c r="AA2589" s="38">
        <f>I2589</f>
        <v>367741.91</v>
      </c>
    </row>
    <row r="2590" spans="1:33" ht="42.75" x14ac:dyDescent="0.2">
      <c r="A2590" s="31">
        <v>348</v>
      </c>
      <c r="B2590" s="31" t="str">
        <f>[1]Source!F2516</f>
        <v>5.3-1101-15-5/1</v>
      </c>
      <c r="C2590" s="31" t="str">
        <f>[1]Source!G2516</f>
        <v>Мытье тротуаров, придомовых и внутрибольничных проездов средствами малой механизации</v>
      </c>
      <c r="D2590" s="32" t="str">
        <f>[1]Source!H2516</f>
        <v>1000 м2</v>
      </c>
      <c r="E2590" s="4">
        <f>[1]Source!I2516</f>
        <v>3.7120000000000002</v>
      </c>
      <c r="F2590" s="33"/>
      <c r="G2590" s="34"/>
      <c r="H2590" s="4"/>
      <c r="I2590" s="4"/>
      <c r="J2590" s="33"/>
      <c r="K2590" s="33"/>
      <c r="M2590"/>
      <c r="N2590"/>
      <c r="O2590"/>
      <c r="P2590"/>
      <c r="Q2590"/>
      <c r="AB2590">
        <f>ROUND(([1]Source!BZ2516/100)*ROUND(([1]Source!AF2516*[1]Source!AV2516)*[1]Source!I2516, 2), 2)</f>
        <v>0</v>
      </c>
      <c r="AC2590">
        <f>[1]Source!X2516</f>
        <v>0</v>
      </c>
      <c r="AD2590">
        <f>ROUND(([1]Source!CA2516/100)*ROUND(([1]Source!AF2516*[1]Source!AV2516)*[1]Source!I2516, 2), 2)</f>
        <v>0</v>
      </c>
      <c r="AE2590">
        <f>[1]Source!Y2516</f>
        <v>0</v>
      </c>
      <c r="AF2590">
        <f>ROUND((175/100)*ROUND(([1]Source!AE2516*[1]Source!AV2516)*[1]Source!I2516, 2), 2)</f>
        <v>3918.25</v>
      </c>
      <c r="AG2590">
        <f>ROUND((108/100)*ROUND([1]Source!CS2516*[1]Source!I2516, 2), 2)</f>
        <v>2418.12</v>
      </c>
    </row>
    <row r="2591" spans="1:33" x14ac:dyDescent="0.2">
      <c r="C2591" s="40" t="str">
        <f>"Объем: "&amp;[1]Source!I2516&amp;"=3712/"&amp;"1000"</f>
        <v>Объем: 3,712=3712/1000</v>
      </c>
      <c r="M2591"/>
      <c r="N2591"/>
      <c r="O2591"/>
      <c r="P2591"/>
      <c r="Q2591"/>
    </row>
    <row r="2592" spans="1:33" ht="14.25" x14ac:dyDescent="0.2">
      <c r="A2592" s="31"/>
      <c r="B2592" s="31"/>
      <c r="C2592" s="31" t="s">
        <v>33</v>
      </c>
      <c r="D2592" s="32"/>
      <c r="E2592" s="4"/>
      <c r="F2592" s="33">
        <f>[1]Source!AM2516</f>
        <v>738.08</v>
      </c>
      <c r="G2592" s="34" t="str">
        <f>[1]Source!DE2516</f>
        <v>)*1*2</v>
      </c>
      <c r="H2592" s="4">
        <f>[1]Source!AV2516</f>
        <v>1</v>
      </c>
      <c r="I2592" s="4">
        <f>IF([1]Source!BB2516&lt;&gt; 0, [1]Source!BB2516, 1)</f>
        <v>1</v>
      </c>
      <c r="J2592" s="33">
        <f>[1]Source!Q2516</f>
        <v>5479.51</v>
      </c>
      <c r="K2592" s="33"/>
      <c r="M2592"/>
      <c r="N2592"/>
      <c r="O2592"/>
      <c r="P2592"/>
      <c r="Q2592"/>
    </row>
    <row r="2593" spans="1:43" ht="14.25" x14ac:dyDescent="0.2">
      <c r="A2593" s="31"/>
      <c r="B2593" s="31"/>
      <c r="C2593" s="31" t="s">
        <v>37</v>
      </c>
      <c r="D2593" s="32"/>
      <c r="E2593" s="4"/>
      <c r="F2593" s="33">
        <f>[1]Source!AN2516</f>
        <v>301.58999999999997</v>
      </c>
      <c r="G2593" s="34" t="str">
        <f>[1]Source!DF2516</f>
        <v>)*1*2</v>
      </c>
      <c r="H2593" s="4">
        <f>[1]Source!AV2516</f>
        <v>1</v>
      </c>
      <c r="I2593" s="4">
        <f>IF([1]Source!BS2516&lt;&gt; 0, [1]Source!BS2516, 1)</f>
        <v>1</v>
      </c>
      <c r="J2593" s="41">
        <f>[1]Source!R2516</f>
        <v>2239</v>
      </c>
      <c r="K2593" s="33"/>
      <c r="M2593"/>
      <c r="N2593"/>
      <c r="O2593"/>
      <c r="P2593"/>
      <c r="Q2593"/>
    </row>
    <row r="2594" spans="1:43" ht="14.25" x14ac:dyDescent="0.2">
      <c r="A2594" s="31"/>
      <c r="B2594" s="31"/>
      <c r="C2594" s="31" t="s">
        <v>47</v>
      </c>
      <c r="D2594" s="32"/>
      <c r="E2594" s="4"/>
      <c r="F2594" s="33">
        <f>[1]Source!AL2516</f>
        <v>194.05</v>
      </c>
      <c r="G2594" s="34" t="str">
        <f>[1]Source!DD2516</f>
        <v>)*1*2</v>
      </c>
      <c r="H2594" s="4">
        <f>[1]Source!AW2516</f>
        <v>1</v>
      </c>
      <c r="I2594" s="4">
        <f>IF([1]Source!BC2516&lt;&gt; 0, [1]Source!BC2516, 1)</f>
        <v>1</v>
      </c>
      <c r="J2594" s="33">
        <f>[1]Source!P2516</f>
        <v>1440.63</v>
      </c>
      <c r="K2594" s="33"/>
      <c r="M2594"/>
      <c r="N2594"/>
      <c r="O2594"/>
      <c r="P2594"/>
      <c r="Q2594"/>
    </row>
    <row r="2595" spans="1:43" ht="14.25" x14ac:dyDescent="0.2">
      <c r="A2595" s="31" t="s">
        <v>106</v>
      </c>
      <c r="B2595" s="31" t="str">
        <f>[1]Source!F2517</f>
        <v>21.1-25-13</v>
      </c>
      <c r="C2595" s="31" t="str">
        <f>[1]Source!G2517</f>
        <v>Вода</v>
      </c>
      <c r="D2595" s="32" t="str">
        <f>[1]Source!H2517</f>
        <v>м3</v>
      </c>
      <c r="E2595" s="4">
        <f>[1]Source!I2517</f>
        <v>-8.3148800000000005</v>
      </c>
      <c r="F2595" s="33">
        <f>[1]Source!AK2517</f>
        <v>42.44</v>
      </c>
      <c r="G2595" s="39" t="s">
        <v>102</v>
      </c>
      <c r="H2595" s="4">
        <f>[1]Source!AW2517</f>
        <v>1</v>
      </c>
      <c r="I2595" s="4">
        <f>IF([1]Source!BC2517&lt;&gt; 0, [1]Source!BC2517, 1)</f>
        <v>1</v>
      </c>
      <c r="J2595" s="33">
        <f>[1]Source!O2517</f>
        <v>-352.88</v>
      </c>
      <c r="K2595" s="33"/>
      <c r="M2595"/>
      <c r="N2595"/>
      <c r="O2595"/>
      <c r="P2595"/>
      <c r="Q2595"/>
      <c r="AB2595">
        <f>ROUND(([1]Source!BZ2517/100)*ROUND(([1]Source!AF2517*[1]Source!AV2517)*[1]Source!I2517, 2), 2)</f>
        <v>0</v>
      </c>
      <c r="AC2595">
        <f>[1]Source!X2517</f>
        <v>0</v>
      </c>
      <c r="AD2595">
        <f>ROUND(([1]Source!CA2517/100)*ROUND(([1]Source!AF2517*[1]Source!AV2517)*[1]Source!I2517, 2), 2)</f>
        <v>0</v>
      </c>
      <c r="AE2595">
        <f>[1]Source!Y2517</f>
        <v>0</v>
      </c>
      <c r="AF2595">
        <f>ROUND((175/100)*ROUND(([1]Source!AE2517*[1]Source!AV2517)*[1]Source!I2517, 2), 2)</f>
        <v>0</v>
      </c>
      <c r="AG2595">
        <f>ROUND((108/100)*ROUND([1]Source!CS2517*[1]Source!I2517, 2), 2)</f>
        <v>0</v>
      </c>
    </row>
    <row r="2596" spans="1:43" ht="14.25" x14ac:dyDescent="0.2">
      <c r="A2596" s="31"/>
      <c r="B2596" s="31"/>
      <c r="C2596" s="31" t="s">
        <v>38</v>
      </c>
      <c r="D2596" s="32" t="s">
        <v>39</v>
      </c>
      <c r="E2596" s="4">
        <f>108</f>
        <v>108</v>
      </c>
      <c r="F2596" s="33"/>
      <c r="G2596" s="34"/>
      <c r="H2596" s="4"/>
      <c r="I2596" s="4"/>
      <c r="J2596" s="33">
        <f>SUM(AG2590:AG2595)</f>
        <v>2418.12</v>
      </c>
      <c r="K2596" s="33"/>
      <c r="M2596"/>
      <c r="N2596"/>
      <c r="O2596"/>
      <c r="P2596"/>
      <c r="Q2596"/>
    </row>
    <row r="2597" spans="1:43" ht="15" x14ac:dyDescent="0.25">
      <c r="A2597" s="35"/>
      <c r="B2597" s="35"/>
      <c r="C2597" s="35"/>
      <c r="D2597" s="35"/>
      <c r="E2597" s="35"/>
      <c r="F2597" s="35"/>
      <c r="G2597" s="35"/>
      <c r="H2597" s="35"/>
      <c r="I2597" s="36">
        <f>J2592+J2594+J2596+SUM(J2595:J2595)</f>
        <v>8985.380000000001</v>
      </c>
      <c r="J2597" s="36"/>
      <c r="K2597" s="37">
        <f>IF([1]Source!I2516&lt;&gt;0, ROUND(I2597/[1]Source!I2516, 2), 0)</f>
        <v>2420.63</v>
      </c>
      <c r="M2597"/>
      <c r="N2597"/>
      <c r="O2597"/>
      <c r="P2597"/>
      <c r="Q2597"/>
      <c r="AA2597" s="38">
        <f>I2597</f>
        <v>8985.380000000001</v>
      </c>
    </row>
    <row r="2598" spans="1:43" ht="42.75" x14ac:dyDescent="0.2">
      <c r="A2598" s="31">
        <v>349</v>
      </c>
      <c r="B2598" s="31" t="str">
        <f>[1]Source!F2518</f>
        <v>5.3-1101-15-4/1</v>
      </c>
      <c r="C2598" s="31" t="str">
        <f>[1]Source!G2518</f>
        <v>Полив тротуаров, придомовых и внутрибольничных проездов средствами малой механизации</v>
      </c>
      <c r="D2598" s="32" t="str">
        <f>[1]Source!H2518</f>
        <v>1000 м2</v>
      </c>
      <c r="E2598" s="4">
        <f>[1]Source!I2518</f>
        <v>3.7120000000000002</v>
      </c>
      <c r="F2598" s="33"/>
      <c r="G2598" s="34"/>
      <c r="H2598" s="4"/>
      <c r="I2598" s="4"/>
      <c r="J2598" s="33"/>
      <c r="K2598" s="33"/>
      <c r="M2598"/>
      <c r="N2598"/>
      <c r="O2598"/>
      <c r="P2598"/>
      <c r="Q2598"/>
      <c r="AB2598">
        <f>ROUND(([1]Source!BZ2518/100)*ROUND(([1]Source!AF2518*[1]Source!AV2518)*[1]Source!I2518, 2), 2)</f>
        <v>0</v>
      </c>
      <c r="AC2598">
        <f>[1]Source!X2518</f>
        <v>0</v>
      </c>
      <c r="AD2598">
        <f>ROUND(([1]Source!CA2518/100)*ROUND(([1]Source!AF2518*[1]Source!AV2518)*[1]Source!I2518, 2), 2)</f>
        <v>0</v>
      </c>
      <c r="AE2598">
        <f>[1]Source!Y2518</f>
        <v>0</v>
      </c>
      <c r="AF2598">
        <f>ROUND((175/100)*ROUND(([1]Source!AE2518*[1]Source!AV2518)*[1]Source!I2518, 2), 2)</f>
        <v>224408.22</v>
      </c>
      <c r="AG2598">
        <f>ROUND((108/100)*ROUND([1]Source!CS2518*[1]Source!I2518, 2), 2)</f>
        <v>138491.93</v>
      </c>
    </row>
    <row r="2599" spans="1:43" x14ac:dyDescent="0.2">
      <c r="C2599" s="40" t="str">
        <f>"Объем: "&amp;[1]Source!I2518&amp;"=3712/"&amp;"1000"</f>
        <v>Объем: 3,712=3712/1000</v>
      </c>
      <c r="M2599"/>
      <c r="N2599"/>
      <c r="O2599"/>
      <c r="P2599"/>
      <c r="Q2599"/>
    </row>
    <row r="2600" spans="1:43" ht="14.25" x14ac:dyDescent="0.2">
      <c r="A2600" s="31"/>
      <c r="B2600" s="31"/>
      <c r="C2600" s="31" t="s">
        <v>33</v>
      </c>
      <c r="D2600" s="32"/>
      <c r="E2600" s="4"/>
      <c r="F2600" s="33">
        <f>[1]Source!AM2518</f>
        <v>469.69</v>
      </c>
      <c r="G2600" s="34" t="str">
        <f>[1]Source!DE2518</f>
        <v>)*2*90</v>
      </c>
      <c r="H2600" s="4">
        <f>[1]Source!AV2518</f>
        <v>1</v>
      </c>
      <c r="I2600" s="4">
        <f>IF([1]Source!BB2518&lt;&gt; 0, [1]Source!BB2518, 1)</f>
        <v>1</v>
      </c>
      <c r="J2600" s="33">
        <f>[1]Source!Q2518</f>
        <v>313828.07</v>
      </c>
      <c r="K2600" s="33"/>
      <c r="M2600"/>
      <c r="N2600"/>
      <c r="O2600"/>
      <c r="P2600"/>
      <c r="Q2600"/>
    </row>
    <row r="2601" spans="1:43" ht="14.25" x14ac:dyDescent="0.2">
      <c r="A2601" s="31"/>
      <c r="B2601" s="31"/>
      <c r="C2601" s="31" t="s">
        <v>37</v>
      </c>
      <c r="D2601" s="32"/>
      <c r="E2601" s="4"/>
      <c r="F2601" s="33">
        <f>[1]Source!AN2518</f>
        <v>191.92</v>
      </c>
      <c r="G2601" s="34" t="str">
        <f>[1]Source!DF2518</f>
        <v>)*2*90</v>
      </c>
      <c r="H2601" s="4">
        <f>[1]Source!AV2518</f>
        <v>1</v>
      </c>
      <c r="I2601" s="4">
        <f>IF([1]Source!BS2518&lt;&gt; 0, [1]Source!BS2518, 1)</f>
        <v>1</v>
      </c>
      <c r="J2601" s="41">
        <f>[1]Source!R2518</f>
        <v>128233.27</v>
      </c>
      <c r="K2601" s="33"/>
      <c r="M2601"/>
      <c r="N2601"/>
      <c r="O2601"/>
      <c r="P2601"/>
      <c r="Q2601"/>
    </row>
    <row r="2602" spans="1:43" ht="14.25" x14ac:dyDescent="0.2">
      <c r="A2602" s="31"/>
      <c r="B2602" s="31"/>
      <c r="C2602" s="31" t="s">
        <v>47</v>
      </c>
      <c r="D2602" s="32"/>
      <c r="E2602" s="4"/>
      <c r="F2602" s="33">
        <f>[1]Source!AL2518</f>
        <v>14.85</v>
      </c>
      <c r="G2602" s="34" t="str">
        <f>[1]Source!DD2518</f>
        <v>)*2*90</v>
      </c>
      <c r="H2602" s="4">
        <f>[1]Source!AW2518</f>
        <v>1</v>
      </c>
      <c r="I2602" s="4">
        <f>IF([1]Source!BC2518&lt;&gt; 0, [1]Source!BC2518, 1)</f>
        <v>1</v>
      </c>
      <c r="J2602" s="33">
        <f>[1]Source!P2518</f>
        <v>9922.18</v>
      </c>
      <c r="K2602" s="33"/>
      <c r="M2602"/>
      <c r="N2602"/>
      <c r="O2602"/>
      <c r="P2602"/>
      <c r="Q2602"/>
    </row>
    <row r="2603" spans="1:43" ht="14.25" x14ac:dyDescent="0.2">
      <c r="A2603" s="31" t="s">
        <v>107</v>
      </c>
      <c r="B2603" s="31" t="str">
        <f>[1]Source!F2519</f>
        <v>21.1-25-13</v>
      </c>
      <c r="C2603" s="31" t="str">
        <f>[1]Source!G2519</f>
        <v>Вода</v>
      </c>
      <c r="D2603" s="32" t="str">
        <f>[1]Source!H2519</f>
        <v>м3</v>
      </c>
      <c r="E2603" s="4">
        <f>[1]Source!I2519</f>
        <v>-233.85599999999999</v>
      </c>
      <c r="F2603" s="33">
        <f>[1]Source!AK2519</f>
        <v>42.44</v>
      </c>
      <c r="G2603" s="39" t="s">
        <v>104</v>
      </c>
      <c r="H2603" s="4">
        <f>[1]Source!AW2519</f>
        <v>1</v>
      </c>
      <c r="I2603" s="4">
        <f>IF([1]Source!BC2519&lt;&gt; 0, [1]Source!BC2519, 1)</f>
        <v>1</v>
      </c>
      <c r="J2603" s="33">
        <f>[1]Source!O2519</f>
        <v>-9924.85</v>
      </c>
      <c r="K2603" s="33"/>
      <c r="M2603"/>
      <c r="N2603"/>
      <c r="O2603"/>
      <c r="P2603"/>
      <c r="Q2603"/>
      <c r="AB2603">
        <f>ROUND(([1]Source!BZ2519/100)*ROUND(([1]Source!AF2519*[1]Source!AV2519)*[1]Source!I2519, 2), 2)</f>
        <v>0</v>
      </c>
      <c r="AC2603">
        <f>[1]Source!X2519</f>
        <v>0</v>
      </c>
      <c r="AD2603">
        <f>ROUND(([1]Source!CA2519/100)*ROUND(([1]Source!AF2519*[1]Source!AV2519)*[1]Source!I2519, 2), 2)</f>
        <v>0</v>
      </c>
      <c r="AE2603">
        <f>[1]Source!Y2519</f>
        <v>0</v>
      </c>
      <c r="AF2603">
        <f>ROUND((175/100)*ROUND(([1]Source!AE2519*[1]Source!AV2519)*[1]Source!I2519, 2), 2)</f>
        <v>0</v>
      </c>
      <c r="AG2603">
        <f>ROUND((108/100)*ROUND([1]Source!CS2519*[1]Source!I2519, 2), 2)</f>
        <v>0</v>
      </c>
    </row>
    <row r="2604" spans="1:43" ht="14.25" x14ac:dyDescent="0.2">
      <c r="A2604" s="31"/>
      <c r="B2604" s="31"/>
      <c r="C2604" s="31" t="s">
        <v>38</v>
      </c>
      <c r="D2604" s="32" t="s">
        <v>39</v>
      </c>
      <c r="E2604" s="4">
        <f>108</f>
        <v>108</v>
      </c>
      <c r="F2604" s="33"/>
      <c r="G2604" s="34"/>
      <c r="H2604" s="4"/>
      <c r="I2604" s="4"/>
      <c r="J2604" s="33">
        <f>SUM(AG2598:AG2603)</f>
        <v>138491.93</v>
      </c>
      <c r="K2604" s="33"/>
      <c r="M2604"/>
      <c r="N2604"/>
      <c r="O2604"/>
      <c r="P2604"/>
      <c r="Q2604"/>
    </row>
    <row r="2605" spans="1:43" ht="15" x14ac:dyDescent="0.25">
      <c r="A2605" s="35"/>
      <c r="B2605" s="35"/>
      <c r="C2605" s="35"/>
      <c r="D2605" s="35"/>
      <c r="E2605" s="35"/>
      <c r="F2605" s="35"/>
      <c r="G2605" s="35"/>
      <c r="H2605" s="35"/>
      <c r="I2605" s="36">
        <f>J2600+J2602+J2604+SUM(J2603:J2603)</f>
        <v>452317.33</v>
      </c>
      <c r="J2605" s="36"/>
      <c r="K2605" s="37">
        <f>IF([1]Source!I2518&lt;&gt;0, ROUND(I2605/[1]Source!I2518, 2), 0)</f>
        <v>121852.73</v>
      </c>
      <c r="M2605"/>
      <c r="N2605"/>
      <c r="O2605"/>
      <c r="P2605"/>
      <c r="Q2605"/>
      <c r="AA2605" s="38">
        <f>I2605</f>
        <v>452317.33</v>
      </c>
    </row>
    <row r="2606" spans="1:43" x14ac:dyDescent="0.2">
      <c r="M2606"/>
      <c r="N2606"/>
      <c r="O2606"/>
      <c r="P2606"/>
      <c r="Q2606"/>
    </row>
    <row r="2607" spans="1:43" ht="30" x14ac:dyDescent="0.25">
      <c r="A2607" s="42" t="str">
        <f>CONCATENATE("Итого по разделу: ",IF([1]Source!G2521&lt;&gt;"Новый раздел", [1]Source!G2521, ""))</f>
        <v>Итого по разделу: Содержание дорожек с мощением , рассчитанным на нагрузку 16тн/ось ( 3712 м2 )( МКЗ)</v>
      </c>
      <c r="B2607" s="42"/>
      <c r="C2607" s="42"/>
      <c r="D2607" s="42"/>
      <c r="E2607" s="42"/>
      <c r="F2607" s="42"/>
      <c r="G2607" s="42"/>
      <c r="H2607" s="42"/>
      <c r="I2607" s="43">
        <f>SUM(AA2567:AA2606)</f>
        <v>2959957.5200000005</v>
      </c>
      <c r="J2607" s="44"/>
      <c r="K2607" s="47"/>
      <c r="L2607" s="38">
        <f>I2607</f>
        <v>2959957.5200000005</v>
      </c>
      <c r="M2607" s="2">
        <f>ROUND(I2607*$I$4874,2)</f>
        <v>2137701.59</v>
      </c>
      <c r="N2607" s="2">
        <f>ROUND(M2607*1.2/105*100,2)</f>
        <v>2443087.5299999998</v>
      </c>
      <c r="O2607" s="2">
        <f>ROUND(N2607*0.05,2)</f>
        <v>122154.38</v>
      </c>
      <c r="P2607" s="2">
        <f>N2607+O2607</f>
        <v>2565241.9099999997</v>
      </c>
      <c r="Q2607" s="3">
        <v>72</v>
      </c>
      <c r="R2607">
        <v>2</v>
      </c>
      <c r="S2607" s="2">
        <v>0</v>
      </c>
      <c r="AQ2607" s="46" t="str">
        <f>CONCATENATE("Итого по разделу: ",IF([1]Source!G2521&lt;&gt;"Новый раздел", [1]Source!G2521, ""))</f>
        <v>Итого по разделу: Содержание дорожек с мощением , рассчитанным на нагрузку 16тн/ось ( 3712 м2 )( МКЗ)</v>
      </c>
    </row>
    <row r="2608" spans="1:43" x14ac:dyDescent="0.2">
      <c r="M2608"/>
      <c r="N2608"/>
      <c r="O2608"/>
      <c r="P2608"/>
      <c r="Q2608"/>
    </row>
    <row r="2609" spans="1:33" x14ac:dyDescent="0.2">
      <c r="M2609"/>
      <c r="N2609"/>
      <c r="O2609"/>
      <c r="P2609"/>
      <c r="Q2609"/>
    </row>
    <row r="2610" spans="1:33" ht="16.5" x14ac:dyDescent="0.25">
      <c r="A2610" s="29" t="str">
        <f>CONCATENATE("Раздел: ",IF([1]Source!G2551&lt;&gt;"Новый раздел", [1]Source!G2551, ""))</f>
        <v>Раздел: Содержание  садово-парковых дорожек с мощением парковым, 100% пешеходным ( 7199 м2)</v>
      </c>
      <c r="B2610" s="29"/>
      <c r="C2610" s="29"/>
      <c r="D2610" s="29"/>
      <c r="E2610" s="29"/>
      <c r="F2610" s="29"/>
      <c r="G2610" s="29"/>
      <c r="H2610" s="29"/>
      <c r="I2610" s="29"/>
      <c r="J2610" s="29"/>
      <c r="K2610" s="29"/>
      <c r="M2610"/>
      <c r="N2610"/>
      <c r="O2610"/>
      <c r="P2610"/>
      <c r="Q2610"/>
    </row>
    <row r="2611" spans="1:33" ht="57" x14ac:dyDescent="0.2">
      <c r="A2611" s="31">
        <v>350</v>
      </c>
      <c r="B2611" s="31" t="str">
        <f>[1]Source!F2555</f>
        <v>5.3-1101-15-1/1</v>
      </c>
      <c r="C2611" s="31" t="str">
        <f>[1]Source!G2555</f>
        <v>Подметание тротуаров, придомовых и внутрибольничных проездов средствами малой механизации( 7199 *0,7= 5039,3м2)</v>
      </c>
      <c r="D2611" s="32" t="str">
        <f>[1]Source!H2555</f>
        <v>1000 м2</v>
      </c>
      <c r="E2611" s="4">
        <f>[1]Source!I2555</f>
        <v>5.0392999999999999</v>
      </c>
      <c r="F2611" s="33"/>
      <c r="G2611" s="34"/>
      <c r="H2611" s="4"/>
      <c r="I2611" s="4"/>
      <c r="J2611" s="33"/>
      <c r="K2611" s="33"/>
      <c r="M2611"/>
      <c r="N2611"/>
      <c r="O2611"/>
      <c r="P2611"/>
      <c r="Q2611"/>
      <c r="AB2611">
        <f>ROUND(([1]Source!BZ2555/100)*ROUND(([1]Source!AF2555*[1]Source!AV2555)*[1]Source!I2555, 2), 2)</f>
        <v>0</v>
      </c>
      <c r="AC2611">
        <f>[1]Source!X2555</f>
        <v>0</v>
      </c>
      <c r="AD2611">
        <f>ROUND(([1]Source!CA2555/100)*ROUND(([1]Source!AF2555*[1]Source!AV2555)*[1]Source!I2555, 2), 2)</f>
        <v>0</v>
      </c>
      <c r="AE2611">
        <f>[1]Source!Y2555</f>
        <v>0</v>
      </c>
      <c r="AF2611">
        <f>ROUND((175/100)*ROUND(([1]Source!AE2555*[1]Source!AV2555)*[1]Source!I2555, 2), 2)</f>
        <v>1251023.83</v>
      </c>
      <c r="AG2611">
        <f>ROUND((108/100)*ROUND([1]Source!CS2555*[1]Source!I2555, 2), 2)</f>
        <v>772060.42</v>
      </c>
    </row>
    <row r="2612" spans="1:33" x14ac:dyDescent="0.2">
      <c r="C2612" s="40" t="str">
        <f>"Объем: "&amp;[1]Source!I2555&amp;"=5039,3/"&amp;"1000"</f>
        <v>Объем: 5,0393=5039,3/1000</v>
      </c>
      <c r="M2612"/>
      <c r="N2612"/>
      <c r="O2612"/>
      <c r="P2612"/>
      <c r="Q2612"/>
    </row>
    <row r="2613" spans="1:33" ht="14.25" x14ac:dyDescent="0.2">
      <c r="A2613" s="31"/>
      <c r="B2613" s="31"/>
      <c r="C2613" s="31" t="s">
        <v>33</v>
      </c>
      <c r="D2613" s="32"/>
      <c r="E2613" s="4"/>
      <c r="F2613" s="33">
        <f>[1]Source!AM2555</f>
        <v>290.76</v>
      </c>
      <c r="G2613" s="34" t="str">
        <f>[1]Source!DE2555</f>
        <v>)*3*398</v>
      </c>
      <c r="H2613" s="4">
        <f>[1]Source!AV2555</f>
        <v>1</v>
      </c>
      <c r="I2613" s="4">
        <f>IF([1]Source!BB2555&lt;&gt; 0, [1]Source!BB2555, 1)</f>
        <v>1</v>
      </c>
      <c r="J2613" s="33">
        <f>[1]Source!Q2555</f>
        <v>1749480.88</v>
      </c>
      <c r="K2613" s="33"/>
      <c r="M2613"/>
      <c r="N2613"/>
      <c r="O2613"/>
      <c r="P2613"/>
      <c r="Q2613"/>
    </row>
    <row r="2614" spans="1:33" ht="14.25" x14ac:dyDescent="0.2">
      <c r="A2614" s="31"/>
      <c r="B2614" s="31"/>
      <c r="C2614" s="31" t="s">
        <v>37</v>
      </c>
      <c r="D2614" s="32"/>
      <c r="E2614" s="4"/>
      <c r="F2614" s="33">
        <f>[1]Source!AN2555</f>
        <v>118.81</v>
      </c>
      <c r="G2614" s="34" t="str">
        <f>[1]Source!DF2555</f>
        <v>)*3*398</v>
      </c>
      <c r="H2614" s="4">
        <f>[1]Source!AV2555</f>
        <v>1</v>
      </c>
      <c r="I2614" s="4">
        <f>IF([1]Source!BS2555&lt;&gt; 0, [1]Source!BS2555, 1)</f>
        <v>1</v>
      </c>
      <c r="J2614" s="41">
        <f>[1]Source!R2555</f>
        <v>714870.76</v>
      </c>
      <c r="K2614" s="33"/>
      <c r="M2614"/>
      <c r="N2614"/>
      <c r="O2614"/>
      <c r="P2614"/>
      <c r="Q2614"/>
    </row>
    <row r="2615" spans="1:33" ht="14.25" x14ac:dyDescent="0.2">
      <c r="A2615" s="31"/>
      <c r="B2615" s="31"/>
      <c r="C2615" s="31" t="s">
        <v>47</v>
      </c>
      <c r="D2615" s="32"/>
      <c r="E2615" s="4"/>
      <c r="F2615" s="33">
        <f>[1]Source!AL2555</f>
        <v>8.49</v>
      </c>
      <c r="G2615" s="34" t="str">
        <f>[1]Source!DD2555</f>
        <v>)*3*398</v>
      </c>
      <c r="H2615" s="4">
        <f>[1]Source!AW2555</f>
        <v>1</v>
      </c>
      <c r="I2615" s="4">
        <f>IF([1]Source!BC2555&lt;&gt; 0, [1]Source!BC2555, 1)</f>
        <v>1</v>
      </c>
      <c r="J2615" s="33">
        <f>[1]Source!P2555</f>
        <v>51083.69</v>
      </c>
      <c r="K2615" s="33"/>
      <c r="M2615"/>
      <c r="N2615"/>
      <c r="O2615"/>
      <c r="P2615"/>
      <c r="Q2615"/>
    </row>
    <row r="2616" spans="1:33" ht="14.25" x14ac:dyDescent="0.2">
      <c r="A2616" s="31" t="s">
        <v>108</v>
      </c>
      <c r="B2616" s="31" t="str">
        <f>[1]Source!F2556</f>
        <v>21.1-25-13</v>
      </c>
      <c r="C2616" s="31" t="str">
        <f>[1]Source!G2556</f>
        <v>Вода</v>
      </c>
      <c r="D2616" s="32" t="str">
        <f>[1]Source!H2556</f>
        <v>м3</v>
      </c>
      <c r="E2616" s="4">
        <f>[1]Source!I2556</f>
        <v>-1203.3848399999999</v>
      </c>
      <c r="F2616" s="33">
        <f>[1]Source!AK2556</f>
        <v>42.44</v>
      </c>
      <c r="G2616" s="39" t="s">
        <v>100</v>
      </c>
      <c r="H2616" s="4">
        <f>[1]Source!AW2556</f>
        <v>1</v>
      </c>
      <c r="I2616" s="4">
        <f>IF([1]Source!BC2556&lt;&gt; 0, [1]Source!BC2556, 1)</f>
        <v>1</v>
      </c>
      <c r="J2616" s="33">
        <f>[1]Source!O2556</f>
        <v>-51071.65</v>
      </c>
      <c r="K2616" s="33"/>
      <c r="M2616"/>
      <c r="N2616"/>
      <c r="O2616"/>
      <c r="P2616"/>
      <c r="Q2616"/>
      <c r="AB2616">
        <f>ROUND(([1]Source!BZ2556/100)*ROUND(([1]Source!AF2556*[1]Source!AV2556)*[1]Source!I2556, 2), 2)</f>
        <v>0</v>
      </c>
      <c r="AC2616">
        <f>[1]Source!X2556</f>
        <v>0</v>
      </c>
      <c r="AD2616">
        <f>ROUND(([1]Source!CA2556/100)*ROUND(([1]Source!AF2556*[1]Source!AV2556)*[1]Source!I2556, 2), 2)</f>
        <v>0</v>
      </c>
      <c r="AE2616">
        <f>[1]Source!Y2556</f>
        <v>0</v>
      </c>
      <c r="AF2616">
        <f>ROUND((175/100)*ROUND(([1]Source!AE2556*[1]Source!AV2556)*[1]Source!I2556, 2), 2)</f>
        <v>0</v>
      </c>
      <c r="AG2616">
        <f>ROUND((108/100)*ROUND([1]Source!CS2556*[1]Source!I2556, 2), 2)</f>
        <v>0</v>
      </c>
    </row>
    <row r="2617" spans="1:33" ht="14.25" x14ac:dyDescent="0.2">
      <c r="A2617" s="31"/>
      <c r="B2617" s="31"/>
      <c r="C2617" s="31" t="s">
        <v>38</v>
      </c>
      <c r="D2617" s="32" t="s">
        <v>39</v>
      </c>
      <c r="E2617" s="4">
        <f>108</f>
        <v>108</v>
      </c>
      <c r="F2617" s="33"/>
      <c r="G2617" s="34"/>
      <c r="H2617" s="4"/>
      <c r="I2617" s="4"/>
      <c r="J2617" s="33">
        <f>SUM(AG2611:AG2616)</f>
        <v>772060.42</v>
      </c>
      <c r="K2617" s="33"/>
      <c r="M2617"/>
      <c r="N2617"/>
      <c r="O2617"/>
      <c r="P2617"/>
      <c r="Q2617"/>
    </row>
    <row r="2618" spans="1:33" ht="15" x14ac:dyDescent="0.25">
      <c r="A2618" s="35"/>
      <c r="B2618" s="35"/>
      <c r="C2618" s="35"/>
      <c r="D2618" s="35"/>
      <c r="E2618" s="35"/>
      <c r="F2618" s="35"/>
      <c r="G2618" s="35"/>
      <c r="H2618" s="35"/>
      <c r="I2618" s="36">
        <f>J2613+J2615+J2617+SUM(J2616:J2616)</f>
        <v>2521553.34</v>
      </c>
      <c r="J2618" s="36"/>
      <c r="K2618" s="37">
        <f>IF([1]Source!I2555&lt;&gt;0, ROUND(I2618/[1]Source!I2555, 2), 0)</f>
        <v>500377.7</v>
      </c>
      <c r="M2618"/>
      <c r="N2618"/>
      <c r="O2618"/>
      <c r="P2618"/>
      <c r="Q2618"/>
      <c r="AA2618" s="38">
        <f>I2618</f>
        <v>2521553.34</v>
      </c>
    </row>
    <row r="2619" spans="1:33" ht="42.75" x14ac:dyDescent="0.2">
      <c r="A2619" s="31">
        <v>351</v>
      </c>
      <c r="B2619" s="31" t="str">
        <f>[1]Source!F2557</f>
        <v>5.3-1101-13-1/1</v>
      </c>
      <c r="C2619" s="31" t="str">
        <f>[1]Source!G2557</f>
        <v>Подметание вручную дорожек и площадок с твердым покрытием ( 7199 м2*0,3=2159,7м2)</v>
      </c>
      <c r="D2619" s="32" t="str">
        <f>[1]Source!H2557</f>
        <v>100 м2</v>
      </c>
      <c r="E2619" s="4">
        <f>[1]Source!I2557</f>
        <v>21.597000000000001</v>
      </c>
      <c r="F2619" s="33"/>
      <c r="G2619" s="34"/>
      <c r="H2619" s="4"/>
      <c r="I2619" s="4"/>
      <c r="J2619" s="33"/>
      <c r="K2619" s="33"/>
      <c r="M2619"/>
      <c r="N2619"/>
      <c r="O2619"/>
      <c r="P2619"/>
      <c r="Q2619"/>
      <c r="AB2619">
        <f>ROUND(([1]Source!BZ2557/100)*ROUND(([1]Source!AF2557*[1]Source!AV2557)*[1]Source!I2557, 2), 2)</f>
        <v>626542.31999999995</v>
      </c>
      <c r="AC2619">
        <f>[1]Source!X2557</f>
        <v>626542.31999999995</v>
      </c>
      <c r="AD2619">
        <f>ROUND(([1]Source!CA2557/100)*ROUND(([1]Source!AF2557*[1]Source!AV2557)*[1]Source!I2557, 2), 2)</f>
        <v>89506.05</v>
      </c>
      <c r="AE2619">
        <f>[1]Source!Y2557</f>
        <v>89506.05</v>
      </c>
      <c r="AF2619">
        <f>ROUND((175/100)*ROUND(([1]Source!AE2557*[1]Source!AV2557)*[1]Source!I2557, 2), 2)</f>
        <v>0</v>
      </c>
      <c r="AG2619">
        <f>ROUND((108/100)*ROUND([1]Source!CS2557*[1]Source!I2557, 2), 2)</f>
        <v>0</v>
      </c>
    </row>
    <row r="2620" spans="1:33" x14ac:dyDescent="0.2">
      <c r="C2620" s="40" t="str">
        <f>"Объем: "&amp;[1]Source!I2557&amp;"=2159,7/"&amp;"100"</f>
        <v>Объем: 21,597=2159,7/100</v>
      </c>
      <c r="M2620"/>
      <c r="N2620"/>
      <c r="O2620"/>
      <c r="P2620"/>
      <c r="Q2620"/>
    </row>
    <row r="2621" spans="1:33" ht="14.25" x14ac:dyDescent="0.2">
      <c r="A2621" s="31"/>
      <c r="B2621" s="31"/>
      <c r="C2621" s="31" t="s">
        <v>34</v>
      </c>
      <c r="D2621" s="32"/>
      <c r="E2621" s="4"/>
      <c r="F2621" s="33">
        <f>[1]Source!AO2557</f>
        <v>34.71</v>
      </c>
      <c r="G2621" s="34" t="str">
        <f>[1]Source!DG2557</f>
        <v>)*3*398</v>
      </c>
      <c r="H2621" s="4">
        <f>[1]Source!AV2557</f>
        <v>1</v>
      </c>
      <c r="I2621" s="4">
        <f>IF([1]Source!BA2557&lt;&gt; 0, [1]Source!BA2557, 1)</f>
        <v>1</v>
      </c>
      <c r="J2621" s="33">
        <f>[1]Source!S2557</f>
        <v>895060.45</v>
      </c>
      <c r="K2621" s="33"/>
      <c r="M2621"/>
      <c r="N2621"/>
      <c r="O2621"/>
      <c r="P2621"/>
      <c r="Q2621"/>
    </row>
    <row r="2622" spans="1:33" ht="14.25" x14ac:dyDescent="0.2">
      <c r="A2622" s="31"/>
      <c r="B2622" s="31"/>
      <c r="C2622" s="31" t="s">
        <v>40</v>
      </c>
      <c r="D2622" s="32" t="s">
        <v>39</v>
      </c>
      <c r="E2622" s="4">
        <f>[1]Source!AT2557</f>
        <v>70</v>
      </c>
      <c r="F2622" s="33"/>
      <c r="G2622" s="34"/>
      <c r="H2622" s="4"/>
      <c r="I2622" s="4"/>
      <c r="J2622" s="33">
        <f>SUM(AC2619:AC2621)</f>
        <v>626542.31999999995</v>
      </c>
      <c r="K2622" s="33"/>
      <c r="M2622"/>
      <c r="N2622"/>
      <c r="O2622"/>
      <c r="P2622"/>
      <c r="Q2622"/>
    </row>
    <row r="2623" spans="1:33" ht="14.25" x14ac:dyDescent="0.2">
      <c r="A2623" s="31"/>
      <c r="B2623" s="31"/>
      <c r="C2623" s="31" t="s">
        <v>41</v>
      </c>
      <c r="D2623" s="32" t="s">
        <v>39</v>
      </c>
      <c r="E2623" s="4">
        <f>[1]Source!AU2557</f>
        <v>10</v>
      </c>
      <c r="F2623" s="33"/>
      <c r="G2623" s="34"/>
      <c r="H2623" s="4"/>
      <c r="I2623" s="4"/>
      <c r="J2623" s="33">
        <f>SUM(AE2619:AE2622)</f>
        <v>89506.05</v>
      </c>
      <c r="K2623" s="33"/>
      <c r="M2623"/>
      <c r="N2623"/>
      <c r="O2623"/>
      <c r="P2623"/>
      <c r="Q2623"/>
    </row>
    <row r="2624" spans="1:33" ht="14.25" x14ac:dyDescent="0.2">
      <c r="A2624" s="31"/>
      <c r="B2624" s="31"/>
      <c r="C2624" s="31" t="s">
        <v>42</v>
      </c>
      <c r="D2624" s="32" t="s">
        <v>43</v>
      </c>
      <c r="E2624" s="4">
        <f>[1]Source!AQ2557</f>
        <v>0.14000000000000001</v>
      </c>
      <c r="F2624" s="33"/>
      <c r="G2624" s="34" t="str">
        <f>[1]Source!DI2557</f>
        <v>)*3*398</v>
      </c>
      <c r="H2624" s="4">
        <f>[1]Source!AV2557</f>
        <v>1</v>
      </c>
      <c r="I2624" s="4"/>
      <c r="J2624" s="33"/>
      <c r="K2624" s="33">
        <f>[1]Source!U2557</f>
        <v>3610.154520000001</v>
      </c>
      <c r="M2624"/>
      <c r="N2624"/>
      <c r="O2624"/>
      <c r="P2624"/>
      <c r="Q2624"/>
    </row>
    <row r="2625" spans="1:33" ht="15" x14ac:dyDescent="0.25">
      <c r="A2625" s="35"/>
      <c r="B2625" s="35"/>
      <c r="C2625" s="35"/>
      <c r="D2625" s="35"/>
      <c r="E2625" s="35"/>
      <c r="F2625" s="35"/>
      <c r="G2625" s="35"/>
      <c r="H2625" s="35"/>
      <c r="I2625" s="36">
        <f>J2621+J2622+J2623</f>
        <v>1611108.82</v>
      </c>
      <c r="J2625" s="36"/>
      <c r="K2625" s="37">
        <f>IF([1]Source!I2557&lt;&gt;0, ROUND(I2625/[1]Source!I2557, 2), 0)</f>
        <v>74598.73</v>
      </c>
      <c r="M2625"/>
      <c r="N2625"/>
      <c r="O2625"/>
      <c r="P2625"/>
      <c r="Q2625"/>
      <c r="AA2625" s="38">
        <f>I2625</f>
        <v>1611108.82</v>
      </c>
    </row>
    <row r="2626" spans="1:33" ht="28.5" x14ac:dyDescent="0.2">
      <c r="A2626" s="31">
        <v>352</v>
      </c>
      <c r="B2626" s="31" t="str">
        <f>[1]Source!F2558</f>
        <v>5.3-1101-13-3/1</v>
      </c>
      <c r="C2626" s="31" t="str">
        <f>[1]Source!G2558</f>
        <v>Подметание вручную дорожек и площадок в дни листопада</v>
      </c>
      <c r="D2626" s="32" t="str">
        <f>[1]Source!H2558</f>
        <v>100 м2</v>
      </c>
      <c r="E2626" s="4">
        <f>[1]Source!I2558</f>
        <v>71.989999999999995</v>
      </c>
      <c r="F2626" s="33"/>
      <c r="G2626" s="34"/>
      <c r="H2626" s="4"/>
      <c r="I2626" s="4"/>
      <c r="J2626" s="33"/>
      <c r="K2626" s="33"/>
      <c r="M2626"/>
      <c r="N2626"/>
      <c r="O2626"/>
      <c r="P2626"/>
      <c r="Q2626"/>
      <c r="AB2626">
        <f>ROUND(([1]Source!BZ2558/100)*ROUND(([1]Source!AF2558*[1]Source!AV2558)*[1]Source!I2558, 2), 2)</f>
        <v>277352.99</v>
      </c>
      <c r="AC2626">
        <f>[1]Source!X2558</f>
        <v>277352.99</v>
      </c>
      <c r="AD2626">
        <f>ROUND(([1]Source!CA2558/100)*ROUND(([1]Source!AF2558*[1]Source!AV2558)*[1]Source!I2558, 2), 2)</f>
        <v>39621.86</v>
      </c>
      <c r="AE2626">
        <f>[1]Source!Y2558</f>
        <v>39621.86</v>
      </c>
      <c r="AF2626">
        <f>ROUND((175/100)*ROUND(([1]Source!AE2558*[1]Source!AV2558)*[1]Source!I2558, 2), 2)</f>
        <v>0</v>
      </c>
      <c r="AG2626">
        <f>ROUND((108/100)*ROUND([1]Source!CS2558*[1]Source!I2558, 2), 2)</f>
        <v>0</v>
      </c>
    </row>
    <row r="2627" spans="1:33" x14ac:dyDescent="0.2">
      <c r="C2627" s="40" t="str">
        <f>"Объем: "&amp;[1]Source!I2558&amp;"=7199/"&amp;"100"</f>
        <v>Объем: 71,99=7199/100</v>
      </c>
      <c r="M2627"/>
      <c r="N2627"/>
      <c r="O2627"/>
      <c r="P2627"/>
      <c r="Q2627"/>
    </row>
    <row r="2628" spans="1:33" ht="14.25" x14ac:dyDescent="0.2">
      <c r="A2628" s="31"/>
      <c r="B2628" s="31"/>
      <c r="C2628" s="31" t="s">
        <v>34</v>
      </c>
      <c r="D2628" s="32"/>
      <c r="E2628" s="4"/>
      <c r="F2628" s="33">
        <f>[1]Source!AO2558</f>
        <v>91.73</v>
      </c>
      <c r="G2628" s="34" t="str">
        <f>[1]Source!DG2558</f>
        <v>)*1*60</v>
      </c>
      <c r="H2628" s="4">
        <f>[1]Source!AV2558</f>
        <v>1</v>
      </c>
      <c r="I2628" s="4">
        <f>IF([1]Source!BA2558&lt;&gt; 0, [1]Source!BA2558, 1)</f>
        <v>1</v>
      </c>
      <c r="J2628" s="33">
        <f>[1]Source!S2558</f>
        <v>396218.56</v>
      </c>
      <c r="K2628" s="33"/>
      <c r="M2628"/>
      <c r="N2628"/>
      <c r="O2628"/>
      <c r="P2628"/>
      <c r="Q2628"/>
    </row>
    <row r="2629" spans="1:33" ht="14.25" x14ac:dyDescent="0.2">
      <c r="A2629" s="31"/>
      <c r="B2629" s="31"/>
      <c r="C2629" s="31" t="s">
        <v>40</v>
      </c>
      <c r="D2629" s="32" t="s">
        <v>39</v>
      </c>
      <c r="E2629" s="4">
        <f>[1]Source!AT2558</f>
        <v>70</v>
      </c>
      <c r="F2629" s="33"/>
      <c r="G2629" s="34"/>
      <c r="H2629" s="4"/>
      <c r="I2629" s="4"/>
      <c r="J2629" s="33">
        <f>SUM(AC2626:AC2628)</f>
        <v>277352.99</v>
      </c>
      <c r="K2629" s="33"/>
      <c r="M2629"/>
      <c r="N2629"/>
      <c r="O2629"/>
      <c r="P2629"/>
      <c r="Q2629"/>
    </row>
    <row r="2630" spans="1:33" ht="14.25" x14ac:dyDescent="0.2">
      <c r="A2630" s="31"/>
      <c r="B2630" s="31"/>
      <c r="C2630" s="31" t="s">
        <v>41</v>
      </c>
      <c r="D2630" s="32" t="s">
        <v>39</v>
      </c>
      <c r="E2630" s="4">
        <f>[1]Source!AU2558</f>
        <v>10</v>
      </c>
      <c r="F2630" s="33"/>
      <c r="G2630" s="34"/>
      <c r="H2630" s="4"/>
      <c r="I2630" s="4"/>
      <c r="J2630" s="33">
        <f>SUM(AE2626:AE2629)</f>
        <v>39621.86</v>
      </c>
      <c r="K2630" s="33"/>
      <c r="M2630"/>
      <c r="N2630"/>
      <c r="O2630"/>
      <c r="P2630"/>
      <c r="Q2630"/>
    </row>
    <row r="2631" spans="1:33" ht="14.25" x14ac:dyDescent="0.2">
      <c r="A2631" s="31"/>
      <c r="B2631" s="31"/>
      <c r="C2631" s="31" t="s">
        <v>42</v>
      </c>
      <c r="D2631" s="32" t="s">
        <v>43</v>
      </c>
      <c r="E2631" s="4">
        <f>[1]Source!AQ2558</f>
        <v>0.37</v>
      </c>
      <c r="F2631" s="33"/>
      <c r="G2631" s="34" t="str">
        <f>[1]Source!DI2558</f>
        <v>)*1*60</v>
      </c>
      <c r="H2631" s="4">
        <f>[1]Source!AV2558</f>
        <v>1</v>
      </c>
      <c r="I2631" s="4"/>
      <c r="J2631" s="33"/>
      <c r="K2631" s="33">
        <f>[1]Source!U2558</f>
        <v>1598.1779999999999</v>
      </c>
      <c r="M2631"/>
      <c r="N2631"/>
      <c r="O2631"/>
      <c r="P2631"/>
      <c r="Q2631"/>
    </row>
    <row r="2632" spans="1:33" ht="15" x14ac:dyDescent="0.25">
      <c r="A2632" s="35"/>
      <c r="B2632" s="35"/>
      <c r="C2632" s="35"/>
      <c r="D2632" s="35"/>
      <c r="E2632" s="35"/>
      <c r="F2632" s="35"/>
      <c r="G2632" s="35"/>
      <c r="H2632" s="35"/>
      <c r="I2632" s="36">
        <f>J2628+J2629+J2630</f>
        <v>713193.41</v>
      </c>
      <c r="J2632" s="36"/>
      <c r="K2632" s="37">
        <f>IF([1]Source!I2558&lt;&gt;0, ROUND(I2632/[1]Source!I2558, 2), 0)</f>
        <v>9906.84</v>
      </c>
      <c r="M2632"/>
      <c r="N2632"/>
      <c r="O2632"/>
      <c r="P2632"/>
      <c r="Q2632"/>
      <c r="AA2632" s="38">
        <f>I2632</f>
        <v>713193.41</v>
      </c>
    </row>
    <row r="2633" spans="1:33" ht="42.75" x14ac:dyDescent="0.2">
      <c r="A2633" s="31">
        <v>353</v>
      </c>
      <c r="B2633" s="31" t="str">
        <f>[1]Source!F2559</f>
        <v>5.3-1101-15-5/1</v>
      </c>
      <c r="C2633" s="31" t="str">
        <f>[1]Source!G2559</f>
        <v>Мытье тротуаров, придомовых и внутрибольничных проездов средствами малой механизации</v>
      </c>
      <c r="D2633" s="32" t="str">
        <f>[1]Source!H2559</f>
        <v>1000 м2</v>
      </c>
      <c r="E2633" s="4">
        <f>[1]Source!I2559</f>
        <v>7.1989999999999998</v>
      </c>
      <c r="F2633" s="33"/>
      <c r="G2633" s="34"/>
      <c r="H2633" s="4"/>
      <c r="I2633" s="4"/>
      <c r="J2633" s="33"/>
      <c r="K2633" s="33"/>
      <c r="M2633"/>
      <c r="N2633"/>
      <c r="O2633"/>
      <c r="P2633"/>
      <c r="Q2633"/>
      <c r="AB2633">
        <f>ROUND(([1]Source!BZ2559/100)*ROUND(([1]Source!AF2559*[1]Source!AV2559)*[1]Source!I2559, 2), 2)</f>
        <v>0</v>
      </c>
      <c r="AC2633">
        <f>[1]Source!X2559</f>
        <v>0</v>
      </c>
      <c r="AD2633">
        <f>ROUND(([1]Source!CA2559/100)*ROUND(([1]Source!AF2559*[1]Source!AV2559)*[1]Source!I2559, 2), 2)</f>
        <v>0</v>
      </c>
      <c r="AE2633">
        <f>[1]Source!Y2559</f>
        <v>0</v>
      </c>
      <c r="AF2633">
        <f>ROUND((175/100)*ROUND(([1]Source!AE2559*[1]Source!AV2559)*[1]Source!I2559, 2), 2)</f>
        <v>7599.01</v>
      </c>
      <c r="AG2633">
        <f>ROUND((108/100)*ROUND([1]Source!CS2559*[1]Source!I2559, 2), 2)</f>
        <v>4689.67</v>
      </c>
    </row>
    <row r="2634" spans="1:33" x14ac:dyDescent="0.2">
      <c r="C2634" s="40" t="str">
        <f>"Объем: "&amp;[1]Source!I2559&amp;"=7199/"&amp;"1000"</f>
        <v>Объем: 7,199=7199/1000</v>
      </c>
      <c r="M2634"/>
      <c r="N2634"/>
      <c r="O2634"/>
      <c r="P2634"/>
      <c r="Q2634"/>
    </row>
    <row r="2635" spans="1:33" ht="14.25" x14ac:dyDescent="0.2">
      <c r="A2635" s="31"/>
      <c r="B2635" s="31"/>
      <c r="C2635" s="31" t="s">
        <v>33</v>
      </c>
      <c r="D2635" s="32"/>
      <c r="E2635" s="4"/>
      <c r="F2635" s="33">
        <f>[1]Source!AM2559</f>
        <v>738.08</v>
      </c>
      <c r="G2635" s="34" t="str">
        <f>[1]Source!DE2559</f>
        <v>)*1*2</v>
      </c>
      <c r="H2635" s="4">
        <f>[1]Source!AV2559</f>
        <v>1</v>
      </c>
      <c r="I2635" s="4">
        <f>IF([1]Source!BB2559&lt;&gt; 0, [1]Source!BB2559, 1)</f>
        <v>1</v>
      </c>
      <c r="J2635" s="33">
        <f>[1]Source!Q2559</f>
        <v>10626.88</v>
      </c>
      <c r="K2635" s="33"/>
      <c r="M2635"/>
      <c r="N2635"/>
      <c r="O2635"/>
      <c r="P2635"/>
      <c r="Q2635"/>
    </row>
    <row r="2636" spans="1:33" ht="14.25" x14ac:dyDescent="0.2">
      <c r="A2636" s="31"/>
      <c r="B2636" s="31"/>
      <c r="C2636" s="31" t="s">
        <v>37</v>
      </c>
      <c r="D2636" s="32"/>
      <c r="E2636" s="4"/>
      <c r="F2636" s="33">
        <f>[1]Source!AN2559</f>
        <v>301.58999999999997</v>
      </c>
      <c r="G2636" s="34" t="str">
        <f>[1]Source!DF2559</f>
        <v>)*1*2</v>
      </c>
      <c r="H2636" s="4">
        <f>[1]Source!AV2559</f>
        <v>1</v>
      </c>
      <c r="I2636" s="4">
        <f>IF([1]Source!BS2559&lt;&gt; 0, [1]Source!BS2559, 1)</f>
        <v>1</v>
      </c>
      <c r="J2636" s="41">
        <f>[1]Source!R2559</f>
        <v>4342.29</v>
      </c>
      <c r="K2636" s="33"/>
      <c r="M2636"/>
      <c r="N2636"/>
      <c r="O2636"/>
      <c r="P2636"/>
      <c r="Q2636"/>
    </row>
    <row r="2637" spans="1:33" ht="14.25" x14ac:dyDescent="0.2">
      <c r="A2637" s="31"/>
      <c r="B2637" s="31"/>
      <c r="C2637" s="31" t="s">
        <v>47</v>
      </c>
      <c r="D2637" s="32"/>
      <c r="E2637" s="4"/>
      <c r="F2637" s="33">
        <f>[1]Source!AL2559</f>
        <v>194.05</v>
      </c>
      <c r="G2637" s="34" t="str">
        <f>[1]Source!DD2559</f>
        <v>)*1*2</v>
      </c>
      <c r="H2637" s="4">
        <f>[1]Source!AW2559</f>
        <v>1</v>
      </c>
      <c r="I2637" s="4">
        <f>IF([1]Source!BC2559&lt;&gt; 0, [1]Source!BC2559, 1)</f>
        <v>1</v>
      </c>
      <c r="J2637" s="33">
        <f>[1]Source!P2559</f>
        <v>2793.93</v>
      </c>
      <c r="K2637" s="33"/>
      <c r="M2637"/>
      <c r="N2637"/>
      <c r="O2637"/>
      <c r="P2637"/>
      <c r="Q2637"/>
    </row>
    <row r="2638" spans="1:33" ht="14.25" x14ac:dyDescent="0.2">
      <c r="A2638" s="31" t="s">
        <v>109</v>
      </c>
      <c r="B2638" s="31" t="str">
        <f>[1]Source!F2560</f>
        <v>21.1-25-13</v>
      </c>
      <c r="C2638" s="31" t="str">
        <f>[1]Source!G2560</f>
        <v>Вода</v>
      </c>
      <c r="D2638" s="32" t="str">
        <f>[1]Source!H2560</f>
        <v>м3</v>
      </c>
      <c r="E2638" s="4">
        <f>[1]Source!I2560</f>
        <v>-16.12576</v>
      </c>
      <c r="F2638" s="33">
        <f>[1]Source!AK2560</f>
        <v>42.44</v>
      </c>
      <c r="G2638" s="39" t="s">
        <v>102</v>
      </c>
      <c r="H2638" s="4">
        <f>[1]Source!AW2560</f>
        <v>1</v>
      </c>
      <c r="I2638" s="4">
        <f>IF([1]Source!BC2560&lt;&gt; 0, [1]Source!BC2560, 1)</f>
        <v>1</v>
      </c>
      <c r="J2638" s="33">
        <f>[1]Source!O2560</f>
        <v>-684.38</v>
      </c>
      <c r="K2638" s="33"/>
      <c r="M2638"/>
      <c r="N2638"/>
      <c r="O2638"/>
      <c r="P2638"/>
      <c r="Q2638"/>
      <c r="AB2638">
        <f>ROUND(([1]Source!BZ2560/100)*ROUND(([1]Source!AF2560*[1]Source!AV2560)*[1]Source!I2560, 2), 2)</f>
        <v>0</v>
      </c>
      <c r="AC2638">
        <f>[1]Source!X2560</f>
        <v>0</v>
      </c>
      <c r="AD2638">
        <f>ROUND(([1]Source!CA2560/100)*ROUND(([1]Source!AF2560*[1]Source!AV2560)*[1]Source!I2560, 2), 2)</f>
        <v>0</v>
      </c>
      <c r="AE2638">
        <f>[1]Source!Y2560</f>
        <v>0</v>
      </c>
      <c r="AF2638">
        <f>ROUND((175/100)*ROUND(([1]Source!AE2560*[1]Source!AV2560)*[1]Source!I2560, 2), 2)</f>
        <v>0</v>
      </c>
      <c r="AG2638">
        <f>ROUND((108/100)*ROUND([1]Source!CS2560*[1]Source!I2560, 2), 2)</f>
        <v>0</v>
      </c>
    </row>
    <row r="2639" spans="1:33" ht="14.25" x14ac:dyDescent="0.2">
      <c r="A2639" s="31"/>
      <c r="B2639" s="31"/>
      <c r="C2639" s="31" t="s">
        <v>38</v>
      </c>
      <c r="D2639" s="32" t="s">
        <v>39</v>
      </c>
      <c r="E2639" s="4">
        <f>108</f>
        <v>108</v>
      </c>
      <c r="F2639" s="33"/>
      <c r="G2639" s="34"/>
      <c r="H2639" s="4"/>
      <c r="I2639" s="4"/>
      <c r="J2639" s="33">
        <f>SUM(AG2633:AG2638)</f>
        <v>4689.67</v>
      </c>
      <c r="K2639" s="33"/>
      <c r="M2639"/>
      <c r="N2639"/>
      <c r="O2639"/>
      <c r="P2639"/>
      <c r="Q2639"/>
    </row>
    <row r="2640" spans="1:33" ht="15" x14ac:dyDescent="0.25">
      <c r="A2640" s="35"/>
      <c r="B2640" s="35"/>
      <c r="C2640" s="35"/>
      <c r="D2640" s="35"/>
      <c r="E2640" s="35"/>
      <c r="F2640" s="35"/>
      <c r="G2640" s="35"/>
      <c r="H2640" s="35"/>
      <c r="I2640" s="36">
        <f>J2635+J2637+J2639+SUM(J2638:J2638)</f>
        <v>17426.099999999999</v>
      </c>
      <c r="J2640" s="36"/>
      <c r="K2640" s="37">
        <f>IF([1]Source!I2559&lt;&gt;0, ROUND(I2640/[1]Source!I2559, 2), 0)</f>
        <v>2420.63</v>
      </c>
      <c r="M2640"/>
      <c r="N2640"/>
      <c r="O2640"/>
      <c r="P2640"/>
      <c r="Q2640"/>
      <c r="AA2640" s="38">
        <f>I2640</f>
        <v>17426.099999999999</v>
      </c>
    </row>
    <row r="2641" spans="1:43" ht="42.75" x14ac:dyDescent="0.2">
      <c r="A2641" s="31">
        <v>354</v>
      </c>
      <c r="B2641" s="31" t="str">
        <f>[1]Source!F2561</f>
        <v>5.3-1101-15-4/1</v>
      </c>
      <c r="C2641" s="31" t="str">
        <f>[1]Source!G2561</f>
        <v>Полив тротуаров, придомовых и внутрибольничных проездов средствами малой механизации</v>
      </c>
      <c r="D2641" s="32" t="str">
        <f>[1]Source!H2561</f>
        <v>1000 м2</v>
      </c>
      <c r="E2641" s="4">
        <f>[1]Source!I2561</f>
        <v>7.1989999999999998</v>
      </c>
      <c r="F2641" s="33"/>
      <c r="G2641" s="34"/>
      <c r="H2641" s="4"/>
      <c r="I2641" s="4"/>
      <c r="J2641" s="33"/>
      <c r="K2641" s="33"/>
      <c r="M2641"/>
      <c r="N2641"/>
      <c r="O2641"/>
      <c r="P2641"/>
      <c r="Q2641"/>
      <c r="AB2641">
        <f>ROUND(([1]Source!BZ2561/100)*ROUND(([1]Source!AF2561*[1]Source!AV2561)*[1]Source!I2561, 2), 2)</f>
        <v>0</v>
      </c>
      <c r="AC2641">
        <f>[1]Source!X2561</f>
        <v>0</v>
      </c>
      <c r="AD2641">
        <f>ROUND(([1]Source!CA2561/100)*ROUND(([1]Source!AF2561*[1]Source!AV2561)*[1]Source!I2561, 2), 2)</f>
        <v>0</v>
      </c>
      <c r="AE2641">
        <f>[1]Source!Y2561</f>
        <v>0</v>
      </c>
      <c r="AF2641">
        <f>ROUND((175/100)*ROUND(([1]Source!AE2561*[1]Source!AV2561)*[1]Source!I2561, 2), 2)</f>
        <v>435214.1</v>
      </c>
      <c r="AG2641">
        <f>ROUND((108/100)*ROUND([1]Source!CS2561*[1]Source!I2561, 2), 2)</f>
        <v>268589.27</v>
      </c>
    </row>
    <row r="2642" spans="1:43" x14ac:dyDescent="0.2">
      <c r="C2642" s="40" t="str">
        <f>"Объем: "&amp;[1]Source!I2561&amp;"=7199/"&amp;"1000"</f>
        <v>Объем: 7,199=7199/1000</v>
      </c>
      <c r="M2642"/>
      <c r="N2642"/>
      <c r="O2642"/>
      <c r="P2642"/>
      <c r="Q2642"/>
    </row>
    <row r="2643" spans="1:43" ht="14.25" x14ac:dyDescent="0.2">
      <c r="A2643" s="31"/>
      <c r="B2643" s="31"/>
      <c r="C2643" s="31" t="s">
        <v>33</v>
      </c>
      <c r="D2643" s="32"/>
      <c r="E2643" s="4"/>
      <c r="F2643" s="33">
        <f>[1]Source!AM2561</f>
        <v>469.69</v>
      </c>
      <c r="G2643" s="34" t="str">
        <f>[1]Source!DE2561</f>
        <v>)*2*90</v>
      </c>
      <c r="H2643" s="4">
        <f>[1]Source!AV2561</f>
        <v>1</v>
      </c>
      <c r="I2643" s="4">
        <f>IF([1]Source!BB2561&lt;&gt; 0, [1]Source!BB2561, 1)</f>
        <v>1</v>
      </c>
      <c r="J2643" s="33">
        <f>[1]Source!Q2561</f>
        <v>608633.69999999995</v>
      </c>
      <c r="K2643" s="33"/>
      <c r="M2643"/>
      <c r="N2643"/>
      <c r="O2643"/>
      <c r="P2643"/>
      <c r="Q2643"/>
    </row>
    <row r="2644" spans="1:43" ht="14.25" x14ac:dyDescent="0.2">
      <c r="A2644" s="31"/>
      <c r="B2644" s="31"/>
      <c r="C2644" s="31" t="s">
        <v>37</v>
      </c>
      <c r="D2644" s="32"/>
      <c r="E2644" s="4"/>
      <c r="F2644" s="33">
        <f>[1]Source!AN2561</f>
        <v>191.92</v>
      </c>
      <c r="G2644" s="34" t="str">
        <f>[1]Source!DF2561</f>
        <v>)*2*90</v>
      </c>
      <c r="H2644" s="4">
        <f>[1]Source!AV2561</f>
        <v>1</v>
      </c>
      <c r="I2644" s="4">
        <f>IF([1]Source!BS2561&lt;&gt; 0, [1]Source!BS2561, 1)</f>
        <v>1</v>
      </c>
      <c r="J2644" s="41">
        <f>[1]Source!R2561</f>
        <v>248693.77</v>
      </c>
      <c r="K2644" s="33"/>
      <c r="M2644"/>
      <c r="N2644"/>
      <c r="O2644"/>
      <c r="P2644"/>
      <c r="Q2644"/>
    </row>
    <row r="2645" spans="1:43" ht="14.25" x14ac:dyDescent="0.2">
      <c r="A2645" s="31"/>
      <c r="B2645" s="31"/>
      <c r="C2645" s="31" t="s">
        <v>47</v>
      </c>
      <c r="D2645" s="32"/>
      <c r="E2645" s="4"/>
      <c r="F2645" s="33">
        <f>[1]Source!AL2561</f>
        <v>14.85</v>
      </c>
      <c r="G2645" s="34" t="str">
        <f>[1]Source!DD2561</f>
        <v>)*2*90</v>
      </c>
      <c r="H2645" s="4">
        <f>[1]Source!AW2561</f>
        <v>1</v>
      </c>
      <c r="I2645" s="4">
        <f>IF([1]Source!BC2561&lt;&gt; 0, [1]Source!BC2561, 1)</f>
        <v>1</v>
      </c>
      <c r="J2645" s="33">
        <f>[1]Source!P2561</f>
        <v>19242.93</v>
      </c>
      <c r="K2645" s="33"/>
      <c r="M2645"/>
      <c r="N2645"/>
      <c r="O2645"/>
      <c r="P2645"/>
      <c r="Q2645"/>
    </row>
    <row r="2646" spans="1:43" ht="14.25" x14ac:dyDescent="0.2">
      <c r="A2646" s="31" t="s">
        <v>110</v>
      </c>
      <c r="B2646" s="31" t="str">
        <f>[1]Source!F2562</f>
        <v>21.1-25-13</v>
      </c>
      <c r="C2646" s="31" t="str">
        <f>[1]Source!G2562</f>
        <v>Вода</v>
      </c>
      <c r="D2646" s="32" t="str">
        <f>[1]Source!H2562</f>
        <v>м3</v>
      </c>
      <c r="E2646" s="4">
        <f>[1]Source!I2562</f>
        <v>-453.53699999999998</v>
      </c>
      <c r="F2646" s="33">
        <f>[1]Source!AK2562</f>
        <v>42.44</v>
      </c>
      <c r="G2646" s="39" t="s">
        <v>104</v>
      </c>
      <c r="H2646" s="4">
        <f>[1]Source!AW2562</f>
        <v>1</v>
      </c>
      <c r="I2646" s="4">
        <f>IF([1]Source!BC2562&lt;&gt; 0, [1]Source!BC2562, 1)</f>
        <v>1</v>
      </c>
      <c r="J2646" s="33">
        <f>[1]Source!O2562</f>
        <v>-19248.11</v>
      </c>
      <c r="K2646" s="33"/>
      <c r="M2646"/>
      <c r="N2646"/>
      <c r="O2646"/>
      <c r="P2646"/>
      <c r="Q2646"/>
      <c r="AB2646">
        <f>ROUND(([1]Source!BZ2562/100)*ROUND(([1]Source!AF2562*[1]Source!AV2562)*[1]Source!I2562, 2), 2)</f>
        <v>0</v>
      </c>
      <c r="AC2646">
        <f>[1]Source!X2562</f>
        <v>0</v>
      </c>
      <c r="AD2646">
        <f>ROUND(([1]Source!CA2562/100)*ROUND(([1]Source!AF2562*[1]Source!AV2562)*[1]Source!I2562, 2), 2)</f>
        <v>0</v>
      </c>
      <c r="AE2646">
        <f>[1]Source!Y2562</f>
        <v>0</v>
      </c>
      <c r="AF2646">
        <f>ROUND((175/100)*ROUND(([1]Source!AE2562*[1]Source!AV2562)*[1]Source!I2562, 2), 2)</f>
        <v>0</v>
      </c>
      <c r="AG2646">
        <f>ROUND((108/100)*ROUND([1]Source!CS2562*[1]Source!I2562, 2), 2)</f>
        <v>0</v>
      </c>
    </row>
    <row r="2647" spans="1:43" ht="14.25" x14ac:dyDescent="0.2">
      <c r="A2647" s="31"/>
      <c r="B2647" s="31"/>
      <c r="C2647" s="31" t="s">
        <v>38</v>
      </c>
      <c r="D2647" s="32" t="s">
        <v>39</v>
      </c>
      <c r="E2647" s="4">
        <f>108</f>
        <v>108</v>
      </c>
      <c r="F2647" s="33"/>
      <c r="G2647" s="34"/>
      <c r="H2647" s="4"/>
      <c r="I2647" s="4"/>
      <c r="J2647" s="33">
        <f>SUM(AG2641:AG2646)</f>
        <v>268589.27</v>
      </c>
      <c r="K2647" s="33"/>
      <c r="M2647"/>
      <c r="N2647"/>
      <c r="O2647"/>
      <c r="P2647"/>
      <c r="Q2647"/>
    </row>
    <row r="2648" spans="1:43" ht="15" x14ac:dyDescent="0.25">
      <c r="A2648" s="35"/>
      <c r="B2648" s="35"/>
      <c r="C2648" s="35"/>
      <c r="D2648" s="35"/>
      <c r="E2648" s="35"/>
      <c r="F2648" s="35"/>
      <c r="G2648" s="35"/>
      <c r="H2648" s="35"/>
      <c r="I2648" s="36">
        <f>J2643+J2645+J2647+SUM(J2646:J2646)</f>
        <v>877217.79</v>
      </c>
      <c r="J2648" s="36"/>
      <c r="K2648" s="37">
        <f>IF([1]Source!I2561&lt;&gt;0, ROUND(I2648/[1]Source!I2561, 2), 0)</f>
        <v>121852.73</v>
      </c>
      <c r="M2648"/>
      <c r="N2648"/>
      <c r="O2648"/>
      <c r="P2648"/>
      <c r="Q2648"/>
      <c r="AA2648" s="38">
        <f>I2648</f>
        <v>877217.79</v>
      </c>
    </row>
    <row r="2649" spans="1:43" x14ac:dyDescent="0.2">
      <c r="M2649"/>
      <c r="N2649"/>
      <c r="O2649"/>
      <c r="P2649"/>
      <c r="Q2649"/>
    </row>
    <row r="2650" spans="1:43" ht="30" x14ac:dyDescent="0.25">
      <c r="A2650" s="42" t="str">
        <f>CONCATENATE("Итого по разделу: ",IF([1]Source!G2564&lt;&gt;"Новый раздел", [1]Source!G2564, ""))</f>
        <v>Итого по разделу: Содержание  садово-парковых дорожек с мощением парковым, 100% пешеходным ( 7199 м2)</v>
      </c>
      <c r="B2650" s="42"/>
      <c r="C2650" s="42"/>
      <c r="D2650" s="42"/>
      <c r="E2650" s="42"/>
      <c r="F2650" s="42"/>
      <c r="G2650" s="42"/>
      <c r="H2650" s="42"/>
      <c r="I2650" s="43">
        <f>SUM(AA2610:AA2649)</f>
        <v>5740499.46</v>
      </c>
      <c r="J2650" s="44"/>
      <c r="K2650" s="47"/>
      <c r="L2650" s="38">
        <f>I2650</f>
        <v>5740499.46</v>
      </c>
      <c r="M2650" s="2">
        <f>ROUND(I2650*$I$4874,2)</f>
        <v>4145828.02</v>
      </c>
      <c r="N2650" s="2">
        <f>ROUND(M2650*1.2/105*100,2)</f>
        <v>4738089.17</v>
      </c>
      <c r="O2650" s="2">
        <f>ROUND(N2650*0.05,2)</f>
        <v>236904.46</v>
      </c>
      <c r="P2650" s="2">
        <f>N2650+O2650</f>
        <v>4974993.63</v>
      </c>
      <c r="Q2650" s="3">
        <v>73</v>
      </c>
      <c r="R2650">
        <v>2</v>
      </c>
      <c r="S2650" s="2">
        <v>0</v>
      </c>
      <c r="AQ2650" s="46" t="str">
        <f>CONCATENATE("Итого по разделу: ",IF([1]Source!G2564&lt;&gt;"Новый раздел", [1]Source!G2564, ""))</f>
        <v>Итого по разделу: Содержание  садово-парковых дорожек с мощением парковым, 100% пешеходным ( 7199 м2)</v>
      </c>
    </row>
    <row r="2651" spans="1:43" x14ac:dyDescent="0.2">
      <c r="M2651"/>
      <c r="N2651"/>
      <c r="O2651"/>
      <c r="P2651"/>
      <c r="Q2651"/>
    </row>
    <row r="2652" spans="1:43" x14ac:dyDescent="0.2">
      <c r="M2652"/>
      <c r="N2652"/>
      <c r="O2652"/>
      <c r="P2652"/>
      <c r="Q2652"/>
    </row>
    <row r="2653" spans="1:43" ht="16.5" x14ac:dyDescent="0.25">
      <c r="A2653" s="29" t="str">
        <f>CONCATENATE("Раздел: ",IF([1]Source!G2594&lt;&gt;"Новый раздел", [1]Source!G2594, ""))</f>
        <v>Раздел: Содержание дорожек с мощением, 100% пешеходным ( 4341,27 м2)( МКЗ)</v>
      </c>
      <c r="B2653" s="29"/>
      <c r="C2653" s="29"/>
      <c r="D2653" s="29"/>
      <c r="E2653" s="29"/>
      <c r="F2653" s="29"/>
      <c r="G2653" s="29"/>
      <c r="H2653" s="29"/>
      <c r="I2653" s="29"/>
      <c r="J2653" s="29"/>
      <c r="K2653" s="29"/>
      <c r="M2653"/>
      <c r="N2653"/>
      <c r="O2653"/>
      <c r="P2653"/>
      <c r="Q2653"/>
    </row>
    <row r="2654" spans="1:43" ht="57" x14ac:dyDescent="0.2">
      <c r="A2654" s="31">
        <v>355</v>
      </c>
      <c r="B2654" s="31" t="str">
        <f>[1]Source!F2598</f>
        <v>5.3-1101-15-1/1</v>
      </c>
      <c r="C2654" s="31" t="str">
        <f>[1]Source!G2598</f>
        <v>Подметание тротуаров, придомовых и внутрибольничных проездов средствами малой механизации( 4341,27 м2 *0,7= 3038,89м2)</v>
      </c>
      <c r="D2654" s="32" t="str">
        <f>[1]Source!H2598</f>
        <v>1000 м2</v>
      </c>
      <c r="E2654" s="4">
        <f>[1]Source!I2598</f>
        <v>3.0388899999999999</v>
      </c>
      <c r="F2654" s="33"/>
      <c r="G2654" s="34"/>
      <c r="H2654" s="4"/>
      <c r="I2654" s="4"/>
      <c r="J2654" s="33"/>
      <c r="K2654" s="33"/>
      <c r="M2654"/>
      <c r="N2654"/>
      <c r="O2654"/>
      <c r="P2654"/>
      <c r="Q2654"/>
      <c r="AB2654">
        <f>ROUND(([1]Source!BZ2598/100)*ROUND(([1]Source!AF2598*[1]Source!AV2598)*[1]Source!I2598, 2), 2)</f>
        <v>0</v>
      </c>
      <c r="AC2654">
        <f>[1]Source!X2598</f>
        <v>0</v>
      </c>
      <c r="AD2654">
        <f>ROUND(([1]Source!CA2598/100)*ROUND(([1]Source!AF2598*[1]Source!AV2598)*[1]Source!I2598, 2), 2)</f>
        <v>0</v>
      </c>
      <c r="AE2654">
        <f>[1]Source!Y2598</f>
        <v>0</v>
      </c>
      <c r="AF2654">
        <f>ROUND((175/100)*ROUND(([1]Source!AE2598*[1]Source!AV2598)*[1]Source!I2598, 2), 2)</f>
        <v>754415.06</v>
      </c>
      <c r="AG2654">
        <f>ROUND((108/100)*ROUND([1]Source!CS2598*[1]Source!I2598, 2), 2)</f>
        <v>465581.87</v>
      </c>
    </row>
    <row r="2655" spans="1:43" x14ac:dyDescent="0.2">
      <c r="C2655" s="40" t="str">
        <f>"Объем: "&amp;[1]Source!I2598&amp;"=3038,89/"&amp;"1000"</f>
        <v>Объем: 3,03889=3038,89/1000</v>
      </c>
      <c r="M2655"/>
      <c r="N2655"/>
      <c r="O2655"/>
      <c r="P2655"/>
      <c r="Q2655"/>
    </row>
    <row r="2656" spans="1:43" ht="14.25" x14ac:dyDescent="0.2">
      <c r="A2656" s="31"/>
      <c r="B2656" s="31"/>
      <c r="C2656" s="31" t="s">
        <v>33</v>
      </c>
      <c r="D2656" s="32"/>
      <c r="E2656" s="4"/>
      <c r="F2656" s="33">
        <f>[1]Source!AM2598</f>
        <v>290.76</v>
      </c>
      <c r="G2656" s="34" t="str">
        <f>[1]Source!DE2598</f>
        <v>)*3*398</v>
      </c>
      <c r="H2656" s="4">
        <f>[1]Source!AV2598</f>
        <v>1</v>
      </c>
      <c r="I2656" s="4">
        <f>IF([1]Source!BB2598&lt;&gt; 0, [1]Source!BB2598, 1)</f>
        <v>1</v>
      </c>
      <c r="J2656" s="33">
        <f>[1]Source!Q2598</f>
        <v>1055003.6599999999</v>
      </c>
      <c r="K2656" s="33"/>
      <c r="M2656"/>
      <c r="N2656"/>
      <c r="O2656"/>
      <c r="P2656"/>
      <c r="Q2656"/>
    </row>
    <row r="2657" spans="1:33" ht="14.25" x14ac:dyDescent="0.2">
      <c r="A2657" s="31"/>
      <c r="B2657" s="31"/>
      <c r="C2657" s="31" t="s">
        <v>37</v>
      </c>
      <c r="D2657" s="32"/>
      <c r="E2657" s="4"/>
      <c r="F2657" s="33">
        <f>[1]Source!AN2598</f>
        <v>118.81</v>
      </c>
      <c r="G2657" s="34" t="str">
        <f>[1]Source!DF2598</f>
        <v>)*3*398</v>
      </c>
      <c r="H2657" s="4">
        <f>[1]Source!AV2598</f>
        <v>1</v>
      </c>
      <c r="I2657" s="4">
        <f>IF([1]Source!BS2598&lt;&gt; 0, [1]Source!BS2598, 1)</f>
        <v>1</v>
      </c>
      <c r="J2657" s="41">
        <f>[1]Source!R2598</f>
        <v>431094.32</v>
      </c>
      <c r="K2657" s="33"/>
      <c r="M2657"/>
      <c r="N2657"/>
      <c r="O2657"/>
      <c r="P2657"/>
      <c r="Q2657"/>
    </row>
    <row r="2658" spans="1:33" ht="14.25" x14ac:dyDescent="0.2">
      <c r="A2658" s="31"/>
      <c r="B2658" s="31"/>
      <c r="C2658" s="31" t="s">
        <v>47</v>
      </c>
      <c r="D2658" s="32"/>
      <c r="E2658" s="4"/>
      <c r="F2658" s="33">
        <f>[1]Source!AL2598</f>
        <v>8.49</v>
      </c>
      <c r="G2658" s="34" t="str">
        <f>[1]Source!DD2598</f>
        <v>)*3*398</v>
      </c>
      <c r="H2658" s="4">
        <f>[1]Source!AW2598</f>
        <v>1</v>
      </c>
      <c r="I2658" s="4">
        <f>IF([1]Source!BC2598&lt;&gt; 0, [1]Source!BC2598, 1)</f>
        <v>1</v>
      </c>
      <c r="J2658" s="33">
        <f>[1]Source!P2598</f>
        <v>30805.41</v>
      </c>
      <c r="K2658" s="33"/>
      <c r="M2658"/>
      <c r="N2658"/>
      <c r="O2658"/>
      <c r="P2658"/>
      <c r="Q2658"/>
    </row>
    <row r="2659" spans="1:33" ht="14.25" x14ac:dyDescent="0.2">
      <c r="A2659" s="31" t="s">
        <v>111</v>
      </c>
      <c r="B2659" s="31" t="str">
        <f>[1]Source!F2599</f>
        <v>21.1-25-13</v>
      </c>
      <c r="C2659" s="31" t="str">
        <f>[1]Source!G2599</f>
        <v>Вода</v>
      </c>
      <c r="D2659" s="32" t="str">
        <f>[1]Source!H2599</f>
        <v>м3</v>
      </c>
      <c r="E2659" s="4">
        <f>[1]Source!I2599</f>
        <v>-725.68693199999996</v>
      </c>
      <c r="F2659" s="33">
        <f>[1]Source!AK2599</f>
        <v>42.44</v>
      </c>
      <c r="G2659" s="39" t="s">
        <v>100</v>
      </c>
      <c r="H2659" s="4">
        <f>[1]Source!AW2599</f>
        <v>1</v>
      </c>
      <c r="I2659" s="4">
        <f>IF([1]Source!BC2599&lt;&gt; 0, [1]Source!BC2599, 1)</f>
        <v>1</v>
      </c>
      <c r="J2659" s="33">
        <f>[1]Source!O2599</f>
        <v>-30798.15</v>
      </c>
      <c r="K2659" s="33"/>
      <c r="M2659"/>
      <c r="N2659"/>
      <c r="O2659"/>
      <c r="P2659"/>
      <c r="Q2659"/>
      <c r="AB2659">
        <f>ROUND(([1]Source!BZ2599/100)*ROUND(([1]Source!AF2599*[1]Source!AV2599)*[1]Source!I2599, 2), 2)</f>
        <v>0</v>
      </c>
      <c r="AC2659">
        <f>[1]Source!X2599</f>
        <v>0</v>
      </c>
      <c r="AD2659">
        <f>ROUND(([1]Source!CA2599/100)*ROUND(([1]Source!AF2599*[1]Source!AV2599)*[1]Source!I2599, 2), 2)</f>
        <v>0</v>
      </c>
      <c r="AE2659">
        <f>[1]Source!Y2599</f>
        <v>0</v>
      </c>
      <c r="AF2659">
        <f>ROUND((175/100)*ROUND(([1]Source!AE2599*[1]Source!AV2599)*[1]Source!I2599, 2), 2)</f>
        <v>0</v>
      </c>
      <c r="AG2659">
        <f>ROUND((108/100)*ROUND([1]Source!CS2599*[1]Source!I2599, 2), 2)</f>
        <v>0</v>
      </c>
    </row>
    <row r="2660" spans="1:33" ht="14.25" x14ac:dyDescent="0.2">
      <c r="A2660" s="31"/>
      <c r="B2660" s="31"/>
      <c r="C2660" s="31" t="s">
        <v>38</v>
      </c>
      <c r="D2660" s="32" t="s">
        <v>39</v>
      </c>
      <c r="E2660" s="4">
        <f>108</f>
        <v>108</v>
      </c>
      <c r="F2660" s="33"/>
      <c r="G2660" s="34"/>
      <c r="H2660" s="4"/>
      <c r="I2660" s="4"/>
      <c r="J2660" s="33">
        <f>SUM(AG2654:AG2659)</f>
        <v>465581.87</v>
      </c>
      <c r="K2660" s="33"/>
      <c r="M2660"/>
      <c r="N2660"/>
      <c r="O2660"/>
      <c r="P2660"/>
      <c r="Q2660"/>
    </row>
    <row r="2661" spans="1:33" ht="15" x14ac:dyDescent="0.25">
      <c r="A2661" s="35"/>
      <c r="B2661" s="35"/>
      <c r="C2661" s="35"/>
      <c r="D2661" s="35"/>
      <c r="E2661" s="35"/>
      <c r="F2661" s="35"/>
      <c r="G2661" s="35"/>
      <c r="H2661" s="35"/>
      <c r="I2661" s="36">
        <f>J2656+J2658+J2660+SUM(J2659:J2659)</f>
        <v>1520592.79</v>
      </c>
      <c r="J2661" s="36"/>
      <c r="K2661" s="37">
        <f>IF([1]Source!I2598&lt;&gt;0, ROUND(I2661/[1]Source!I2598, 2), 0)</f>
        <v>500377.7</v>
      </c>
      <c r="M2661"/>
      <c r="N2661"/>
      <c r="O2661"/>
      <c r="P2661"/>
      <c r="Q2661"/>
      <c r="AA2661" s="38">
        <f>I2661</f>
        <v>1520592.79</v>
      </c>
    </row>
    <row r="2662" spans="1:33" ht="42.75" x14ac:dyDescent="0.2">
      <c r="A2662" s="31">
        <v>356</v>
      </c>
      <c r="B2662" s="31" t="str">
        <f>[1]Source!F2600</f>
        <v>5.3-1101-13-1/1</v>
      </c>
      <c r="C2662" s="31" t="str">
        <f>[1]Source!G2600</f>
        <v>Подметание вручную дорожек и площадок с твердым покрытием ( 4341,27 м2*0,3=1302,38м2)</v>
      </c>
      <c r="D2662" s="32" t="str">
        <f>[1]Source!H2600</f>
        <v>100 м2</v>
      </c>
      <c r="E2662" s="4">
        <f>[1]Source!I2600</f>
        <v>13.0238</v>
      </c>
      <c r="F2662" s="33"/>
      <c r="G2662" s="34"/>
      <c r="H2662" s="4"/>
      <c r="I2662" s="4"/>
      <c r="J2662" s="33"/>
      <c r="K2662" s="33"/>
      <c r="M2662"/>
      <c r="N2662"/>
      <c r="O2662"/>
      <c r="P2662"/>
      <c r="Q2662"/>
      <c r="AB2662">
        <f>ROUND(([1]Source!BZ2600/100)*ROUND(([1]Source!AF2600*[1]Source!AV2600)*[1]Source!I2600, 2), 2)</f>
        <v>377828.49</v>
      </c>
      <c r="AC2662">
        <f>[1]Source!X2600</f>
        <v>377828.49</v>
      </c>
      <c r="AD2662">
        <f>ROUND(([1]Source!CA2600/100)*ROUND(([1]Source!AF2600*[1]Source!AV2600)*[1]Source!I2600, 2), 2)</f>
        <v>53975.5</v>
      </c>
      <c r="AE2662">
        <f>[1]Source!Y2600</f>
        <v>53975.5</v>
      </c>
      <c r="AF2662">
        <f>ROUND((175/100)*ROUND(([1]Source!AE2600*[1]Source!AV2600)*[1]Source!I2600, 2), 2)</f>
        <v>0</v>
      </c>
      <c r="AG2662">
        <f>ROUND((108/100)*ROUND([1]Source!CS2600*[1]Source!I2600, 2), 2)</f>
        <v>0</v>
      </c>
    </row>
    <row r="2663" spans="1:33" x14ac:dyDescent="0.2">
      <c r="C2663" s="40" t="str">
        <f>"Объем: "&amp;[1]Source!I2600&amp;"=1302,38/"&amp;"100"</f>
        <v>Объем: 13,0238=1302,38/100</v>
      </c>
      <c r="M2663"/>
      <c r="N2663"/>
      <c r="O2663"/>
      <c r="P2663"/>
      <c r="Q2663"/>
    </row>
    <row r="2664" spans="1:33" ht="14.25" x14ac:dyDescent="0.2">
      <c r="A2664" s="31"/>
      <c r="B2664" s="31"/>
      <c r="C2664" s="31" t="s">
        <v>34</v>
      </c>
      <c r="D2664" s="32"/>
      <c r="E2664" s="4"/>
      <c r="F2664" s="33">
        <f>[1]Source!AO2600</f>
        <v>34.71</v>
      </c>
      <c r="G2664" s="34" t="str">
        <f>[1]Source!DG2600</f>
        <v>)*3*398</v>
      </c>
      <c r="H2664" s="4">
        <f>[1]Source!AV2600</f>
        <v>1</v>
      </c>
      <c r="I2664" s="4">
        <f>IF([1]Source!BA2600&lt;&gt; 0, [1]Source!BA2600, 1)</f>
        <v>1</v>
      </c>
      <c r="J2664" s="33">
        <f>[1]Source!S2600</f>
        <v>539754.98</v>
      </c>
      <c r="K2664" s="33"/>
      <c r="M2664"/>
      <c r="N2664"/>
      <c r="O2664"/>
      <c r="P2664"/>
      <c r="Q2664"/>
    </row>
    <row r="2665" spans="1:33" ht="14.25" x14ac:dyDescent="0.2">
      <c r="A2665" s="31"/>
      <c r="B2665" s="31"/>
      <c r="C2665" s="31" t="s">
        <v>40</v>
      </c>
      <c r="D2665" s="32" t="s">
        <v>39</v>
      </c>
      <c r="E2665" s="4">
        <f>[1]Source!AT2600</f>
        <v>70</v>
      </c>
      <c r="F2665" s="33"/>
      <c r="G2665" s="34"/>
      <c r="H2665" s="4"/>
      <c r="I2665" s="4"/>
      <c r="J2665" s="33">
        <f>SUM(AC2662:AC2664)</f>
        <v>377828.49</v>
      </c>
      <c r="K2665" s="33"/>
      <c r="M2665"/>
      <c r="N2665"/>
      <c r="O2665"/>
      <c r="P2665"/>
      <c r="Q2665"/>
    </row>
    <row r="2666" spans="1:33" ht="14.25" x14ac:dyDescent="0.2">
      <c r="A2666" s="31"/>
      <c r="B2666" s="31"/>
      <c r="C2666" s="31" t="s">
        <v>41</v>
      </c>
      <c r="D2666" s="32" t="s">
        <v>39</v>
      </c>
      <c r="E2666" s="4">
        <f>[1]Source!AU2600</f>
        <v>10</v>
      </c>
      <c r="F2666" s="33"/>
      <c r="G2666" s="34"/>
      <c r="H2666" s="4"/>
      <c r="I2666" s="4"/>
      <c r="J2666" s="33">
        <f>SUM(AE2662:AE2665)</f>
        <v>53975.5</v>
      </c>
      <c r="K2666" s="33"/>
      <c r="M2666"/>
      <c r="N2666"/>
      <c r="O2666"/>
      <c r="P2666"/>
      <c r="Q2666"/>
    </row>
    <row r="2667" spans="1:33" ht="14.25" x14ac:dyDescent="0.2">
      <c r="A2667" s="31"/>
      <c r="B2667" s="31"/>
      <c r="C2667" s="31" t="s">
        <v>42</v>
      </c>
      <c r="D2667" s="32" t="s">
        <v>43</v>
      </c>
      <c r="E2667" s="4">
        <f>[1]Source!AQ2600</f>
        <v>0.14000000000000001</v>
      </c>
      <c r="F2667" s="33"/>
      <c r="G2667" s="34" t="str">
        <f>[1]Source!DI2600</f>
        <v>)*3*398</v>
      </c>
      <c r="H2667" s="4">
        <f>[1]Source!AV2600</f>
        <v>1</v>
      </c>
      <c r="I2667" s="4"/>
      <c r="J2667" s="33"/>
      <c r="K2667" s="33">
        <f>[1]Source!U2600</f>
        <v>2177.0584080000003</v>
      </c>
      <c r="M2667"/>
      <c r="N2667"/>
      <c r="O2667"/>
      <c r="P2667"/>
      <c r="Q2667"/>
    </row>
    <row r="2668" spans="1:33" ht="15" x14ac:dyDescent="0.25">
      <c r="A2668" s="35"/>
      <c r="B2668" s="35"/>
      <c r="C2668" s="35"/>
      <c r="D2668" s="35"/>
      <c r="E2668" s="35"/>
      <c r="F2668" s="35"/>
      <c r="G2668" s="35"/>
      <c r="H2668" s="35"/>
      <c r="I2668" s="36">
        <f>J2664+J2665+J2666</f>
        <v>971558.97</v>
      </c>
      <c r="J2668" s="36"/>
      <c r="K2668" s="37">
        <f>IF([1]Source!I2600&lt;&gt;0, ROUND(I2668/[1]Source!I2600, 2), 0)</f>
        <v>74598.73</v>
      </c>
      <c r="M2668"/>
      <c r="N2668"/>
      <c r="O2668"/>
      <c r="P2668"/>
      <c r="Q2668"/>
      <c r="AA2668" s="38">
        <f>I2668</f>
        <v>971558.97</v>
      </c>
    </row>
    <row r="2669" spans="1:33" ht="28.5" x14ac:dyDescent="0.2">
      <c r="A2669" s="31">
        <v>357</v>
      </c>
      <c r="B2669" s="31" t="str">
        <f>[1]Source!F2601</f>
        <v>5.3-1101-13-3/1</v>
      </c>
      <c r="C2669" s="31" t="str">
        <f>[1]Source!G2601</f>
        <v>Подметание вручную дорожек и площадок в дни листопада</v>
      </c>
      <c r="D2669" s="32" t="str">
        <f>[1]Source!H2601</f>
        <v>100 м2</v>
      </c>
      <c r="E2669" s="4">
        <f>[1]Source!I2601</f>
        <v>43.412700000000001</v>
      </c>
      <c r="F2669" s="33"/>
      <c r="G2669" s="34"/>
      <c r="H2669" s="4"/>
      <c r="I2669" s="4"/>
      <c r="J2669" s="33"/>
      <c r="K2669" s="33"/>
      <c r="M2669"/>
      <c r="N2669"/>
      <c r="O2669"/>
      <c r="P2669"/>
      <c r="Q2669"/>
      <c r="AB2669">
        <f>ROUND(([1]Source!BZ2601/100)*ROUND(([1]Source!AF2601*[1]Source!AV2601)*[1]Source!I2601, 2), 2)</f>
        <v>167254.37</v>
      </c>
      <c r="AC2669">
        <f>[1]Source!X2601</f>
        <v>167254.37</v>
      </c>
      <c r="AD2669">
        <f>ROUND(([1]Source!CA2601/100)*ROUND(([1]Source!AF2601*[1]Source!AV2601)*[1]Source!I2601, 2), 2)</f>
        <v>23893.48</v>
      </c>
      <c r="AE2669">
        <f>[1]Source!Y2601</f>
        <v>23893.48</v>
      </c>
      <c r="AF2669">
        <f>ROUND((175/100)*ROUND(([1]Source!AE2601*[1]Source!AV2601)*[1]Source!I2601, 2), 2)</f>
        <v>0</v>
      </c>
      <c r="AG2669">
        <f>ROUND((108/100)*ROUND([1]Source!CS2601*[1]Source!I2601, 2), 2)</f>
        <v>0</v>
      </c>
    </row>
    <row r="2670" spans="1:33" x14ac:dyDescent="0.2">
      <c r="C2670" s="40" t="str">
        <f>"Объем: "&amp;[1]Source!I2601&amp;"=4341,27/"&amp;"100"</f>
        <v>Объем: 43,4127=4341,27/100</v>
      </c>
      <c r="M2670"/>
      <c r="N2670"/>
      <c r="O2670"/>
      <c r="P2670"/>
      <c r="Q2670"/>
    </row>
    <row r="2671" spans="1:33" ht="14.25" x14ac:dyDescent="0.2">
      <c r="A2671" s="31"/>
      <c r="B2671" s="31"/>
      <c r="C2671" s="31" t="s">
        <v>34</v>
      </c>
      <c r="D2671" s="32"/>
      <c r="E2671" s="4"/>
      <c r="F2671" s="33">
        <f>[1]Source!AO2601</f>
        <v>91.73</v>
      </c>
      <c r="G2671" s="34" t="str">
        <f>[1]Source!DG2601</f>
        <v>)*1*60</v>
      </c>
      <c r="H2671" s="4">
        <f>[1]Source!AV2601</f>
        <v>1</v>
      </c>
      <c r="I2671" s="4">
        <f>IF([1]Source!BA2601&lt;&gt; 0, [1]Source!BA2601, 1)</f>
        <v>1</v>
      </c>
      <c r="J2671" s="33">
        <f>[1]Source!S2601</f>
        <v>238934.82</v>
      </c>
      <c r="K2671" s="33"/>
      <c r="M2671"/>
      <c r="N2671"/>
      <c r="O2671"/>
      <c r="P2671"/>
      <c r="Q2671"/>
    </row>
    <row r="2672" spans="1:33" ht="14.25" x14ac:dyDescent="0.2">
      <c r="A2672" s="31"/>
      <c r="B2672" s="31"/>
      <c r="C2672" s="31" t="s">
        <v>40</v>
      </c>
      <c r="D2672" s="32" t="s">
        <v>39</v>
      </c>
      <c r="E2672" s="4">
        <f>[1]Source!AT2601</f>
        <v>70</v>
      </c>
      <c r="F2672" s="33"/>
      <c r="G2672" s="34"/>
      <c r="H2672" s="4"/>
      <c r="I2672" s="4"/>
      <c r="J2672" s="33">
        <f>SUM(AC2669:AC2671)</f>
        <v>167254.37</v>
      </c>
      <c r="K2672" s="33"/>
      <c r="M2672"/>
      <c r="N2672"/>
      <c r="O2672"/>
      <c r="P2672"/>
      <c r="Q2672"/>
    </row>
    <row r="2673" spans="1:33" ht="14.25" x14ac:dyDescent="0.2">
      <c r="A2673" s="31"/>
      <c r="B2673" s="31"/>
      <c r="C2673" s="31" t="s">
        <v>41</v>
      </c>
      <c r="D2673" s="32" t="s">
        <v>39</v>
      </c>
      <c r="E2673" s="4">
        <f>[1]Source!AU2601</f>
        <v>10</v>
      </c>
      <c r="F2673" s="33"/>
      <c r="G2673" s="34"/>
      <c r="H2673" s="4"/>
      <c r="I2673" s="4"/>
      <c r="J2673" s="33">
        <f>SUM(AE2669:AE2672)</f>
        <v>23893.48</v>
      </c>
      <c r="K2673" s="33"/>
      <c r="M2673"/>
      <c r="N2673"/>
      <c r="O2673"/>
      <c r="P2673"/>
      <c r="Q2673"/>
    </row>
    <row r="2674" spans="1:33" ht="14.25" x14ac:dyDescent="0.2">
      <c r="A2674" s="31"/>
      <c r="B2674" s="31"/>
      <c r="C2674" s="31" t="s">
        <v>42</v>
      </c>
      <c r="D2674" s="32" t="s">
        <v>43</v>
      </c>
      <c r="E2674" s="4">
        <f>[1]Source!AQ2601</f>
        <v>0.37</v>
      </c>
      <c r="F2674" s="33"/>
      <c r="G2674" s="34" t="str">
        <f>[1]Source!DI2601</f>
        <v>)*1*60</v>
      </c>
      <c r="H2674" s="4">
        <f>[1]Source!AV2601</f>
        <v>1</v>
      </c>
      <c r="I2674" s="4"/>
      <c r="J2674" s="33"/>
      <c r="K2674" s="33">
        <f>[1]Source!U2601</f>
        <v>963.76193999999998</v>
      </c>
      <c r="M2674"/>
      <c r="N2674"/>
      <c r="O2674"/>
      <c r="P2674"/>
      <c r="Q2674"/>
    </row>
    <row r="2675" spans="1:33" ht="15" x14ac:dyDescent="0.25">
      <c r="A2675" s="35"/>
      <c r="B2675" s="35"/>
      <c r="C2675" s="35"/>
      <c r="D2675" s="35"/>
      <c r="E2675" s="35"/>
      <c r="F2675" s="35"/>
      <c r="G2675" s="35"/>
      <c r="H2675" s="35"/>
      <c r="I2675" s="36">
        <f>J2671+J2672+J2673</f>
        <v>430082.67</v>
      </c>
      <c r="J2675" s="36"/>
      <c r="K2675" s="37">
        <f>IF([1]Source!I2601&lt;&gt;0, ROUND(I2675/[1]Source!I2601, 2), 0)</f>
        <v>9906.84</v>
      </c>
      <c r="M2675"/>
      <c r="N2675"/>
      <c r="O2675"/>
      <c r="P2675"/>
      <c r="Q2675"/>
      <c r="AA2675" s="38">
        <f>I2675</f>
        <v>430082.67</v>
      </c>
    </row>
    <row r="2676" spans="1:33" ht="42.75" x14ac:dyDescent="0.2">
      <c r="A2676" s="31">
        <v>358</v>
      </c>
      <c r="B2676" s="31" t="str">
        <f>[1]Source!F2602</f>
        <v>5.3-1101-15-5/1</v>
      </c>
      <c r="C2676" s="31" t="str">
        <f>[1]Source!G2602</f>
        <v>Мытье тротуаров, придомовых и внутрибольничных проездов средствами малой механизации</v>
      </c>
      <c r="D2676" s="32" t="str">
        <f>[1]Source!H2602</f>
        <v>1000 м2</v>
      </c>
      <c r="E2676" s="4">
        <f>[1]Source!I2602</f>
        <v>4.3412699999999997</v>
      </c>
      <c r="F2676" s="33"/>
      <c r="G2676" s="34"/>
      <c r="H2676" s="4"/>
      <c r="I2676" s="4"/>
      <c r="J2676" s="33"/>
      <c r="K2676" s="33"/>
      <c r="M2676"/>
      <c r="N2676"/>
      <c r="O2676"/>
      <c r="P2676"/>
      <c r="Q2676"/>
      <c r="AB2676">
        <f>ROUND(([1]Source!BZ2602/100)*ROUND(([1]Source!AF2602*[1]Source!AV2602)*[1]Source!I2602, 2), 2)</f>
        <v>0</v>
      </c>
      <c r="AC2676">
        <f>[1]Source!X2602</f>
        <v>0</v>
      </c>
      <c r="AD2676">
        <f>ROUND(([1]Source!CA2602/100)*ROUND(([1]Source!AF2602*[1]Source!AV2602)*[1]Source!I2602, 2), 2)</f>
        <v>0</v>
      </c>
      <c r="AE2676">
        <f>[1]Source!Y2602</f>
        <v>0</v>
      </c>
      <c r="AF2676">
        <f>ROUND((175/100)*ROUND(([1]Source!AE2602*[1]Source!AV2602)*[1]Source!I2602, 2), 2)</f>
        <v>4582.5</v>
      </c>
      <c r="AG2676">
        <f>ROUND((108/100)*ROUND([1]Source!CS2602*[1]Source!I2602, 2), 2)</f>
        <v>2828.06</v>
      </c>
    </row>
    <row r="2677" spans="1:33" x14ac:dyDescent="0.2">
      <c r="C2677" s="40" t="str">
        <f>"Объем: "&amp;[1]Source!I2602&amp;"=4341,27/"&amp;"1000"</f>
        <v>Объем: 4,34127=4341,27/1000</v>
      </c>
      <c r="M2677"/>
      <c r="N2677"/>
      <c r="O2677"/>
      <c r="P2677"/>
      <c r="Q2677"/>
    </row>
    <row r="2678" spans="1:33" ht="14.25" x14ac:dyDescent="0.2">
      <c r="A2678" s="31"/>
      <c r="B2678" s="31"/>
      <c r="C2678" s="31" t="s">
        <v>33</v>
      </c>
      <c r="D2678" s="32"/>
      <c r="E2678" s="4"/>
      <c r="F2678" s="33">
        <f>[1]Source!AM2602</f>
        <v>738.08</v>
      </c>
      <c r="G2678" s="34" t="str">
        <f>[1]Source!DE2602</f>
        <v>)*1*2</v>
      </c>
      <c r="H2678" s="4">
        <f>[1]Source!AV2602</f>
        <v>1</v>
      </c>
      <c r="I2678" s="4">
        <f>IF([1]Source!BB2602&lt;&gt; 0, [1]Source!BB2602, 1)</f>
        <v>1</v>
      </c>
      <c r="J2678" s="33">
        <f>[1]Source!Q2602</f>
        <v>6408.41</v>
      </c>
      <c r="K2678" s="33"/>
      <c r="M2678"/>
      <c r="N2678"/>
      <c r="O2678"/>
      <c r="P2678"/>
      <c r="Q2678"/>
    </row>
    <row r="2679" spans="1:33" ht="14.25" x14ac:dyDescent="0.2">
      <c r="A2679" s="31"/>
      <c r="B2679" s="31"/>
      <c r="C2679" s="31" t="s">
        <v>37</v>
      </c>
      <c r="D2679" s="32"/>
      <c r="E2679" s="4"/>
      <c r="F2679" s="33">
        <f>[1]Source!AN2602</f>
        <v>301.58999999999997</v>
      </c>
      <c r="G2679" s="34" t="str">
        <f>[1]Source!DF2602</f>
        <v>)*1*2</v>
      </c>
      <c r="H2679" s="4">
        <f>[1]Source!AV2602</f>
        <v>1</v>
      </c>
      <c r="I2679" s="4">
        <f>IF([1]Source!BS2602&lt;&gt; 0, [1]Source!BS2602, 1)</f>
        <v>1</v>
      </c>
      <c r="J2679" s="41">
        <f>[1]Source!R2602</f>
        <v>2618.5700000000002</v>
      </c>
      <c r="K2679" s="33"/>
      <c r="M2679"/>
      <c r="N2679"/>
      <c r="O2679"/>
      <c r="P2679"/>
      <c r="Q2679"/>
    </row>
    <row r="2680" spans="1:33" ht="14.25" x14ac:dyDescent="0.2">
      <c r="A2680" s="31"/>
      <c r="B2680" s="31"/>
      <c r="C2680" s="31" t="s">
        <v>47</v>
      </c>
      <c r="D2680" s="32"/>
      <c r="E2680" s="4"/>
      <c r="F2680" s="33">
        <f>[1]Source!AL2602</f>
        <v>194.05</v>
      </c>
      <c r="G2680" s="34" t="str">
        <f>[1]Source!DD2602</f>
        <v>)*1*2</v>
      </c>
      <c r="H2680" s="4">
        <f>[1]Source!AW2602</f>
        <v>1</v>
      </c>
      <c r="I2680" s="4">
        <f>IF([1]Source!BC2602&lt;&gt; 0, [1]Source!BC2602, 1)</f>
        <v>1</v>
      </c>
      <c r="J2680" s="33">
        <f>[1]Source!P2602</f>
        <v>1684.85</v>
      </c>
      <c r="K2680" s="33"/>
      <c r="M2680"/>
      <c r="N2680"/>
      <c r="O2680"/>
      <c r="P2680"/>
      <c r="Q2680"/>
    </row>
    <row r="2681" spans="1:33" ht="14.25" x14ac:dyDescent="0.2">
      <c r="A2681" s="31" t="s">
        <v>112</v>
      </c>
      <c r="B2681" s="31" t="str">
        <f>[1]Source!F2603</f>
        <v>21.1-25-13</v>
      </c>
      <c r="C2681" s="31" t="str">
        <f>[1]Source!G2603</f>
        <v>Вода</v>
      </c>
      <c r="D2681" s="32" t="str">
        <f>[1]Source!H2603</f>
        <v>м3</v>
      </c>
      <c r="E2681" s="4">
        <f>[1]Source!I2603</f>
        <v>-9.7244449999999993</v>
      </c>
      <c r="F2681" s="33">
        <f>[1]Source!AK2603</f>
        <v>42.44</v>
      </c>
      <c r="G2681" s="39" t="s">
        <v>102</v>
      </c>
      <c r="H2681" s="4">
        <f>[1]Source!AW2603</f>
        <v>1</v>
      </c>
      <c r="I2681" s="4">
        <f>IF([1]Source!BC2603&lt;&gt; 0, [1]Source!BC2603, 1)</f>
        <v>1</v>
      </c>
      <c r="J2681" s="33">
        <f>[1]Source!O2603</f>
        <v>-412.71</v>
      </c>
      <c r="K2681" s="33"/>
      <c r="M2681"/>
      <c r="N2681"/>
      <c r="O2681"/>
      <c r="P2681"/>
      <c r="Q2681"/>
      <c r="AB2681">
        <f>ROUND(([1]Source!BZ2603/100)*ROUND(([1]Source!AF2603*[1]Source!AV2603)*[1]Source!I2603, 2), 2)</f>
        <v>0</v>
      </c>
      <c r="AC2681">
        <f>[1]Source!X2603</f>
        <v>0</v>
      </c>
      <c r="AD2681">
        <f>ROUND(([1]Source!CA2603/100)*ROUND(([1]Source!AF2603*[1]Source!AV2603)*[1]Source!I2603, 2), 2)</f>
        <v>0</v>
      </c>
      <c r="AE2681">
        <f>[1]Source!Y2603</f>
        <v>0</v>
      </c>
      <c r="AF2681">
        <f>ROUND((175/100)*ROUND(([1]Source!AE2603*[1]Source!AV2603)*[1]Source!I2603, 2), 2)</f>
        <v>0</v>
      </c>
      <c r="AG2681">
        <f>ROUND((108/100)*ROUND([1]Source!CS2603*[1]Source!I2603, 2), 2)</f>
        <v>0</v>
      </c>
    </row>
    <row r="2682" spans="1:33" ht="14.25" x14ac:dyDescent="0.2">
      <c r="A2682" s="31"/>
      <c r="B2682" s="31"/>
      <c r="C2682" s="31" t="s">
        <v>38</v>
      </c>
      <c r="D2682" s="32" t="s">
        <v>39</v>
      </c>
      <c r="E2682" s="4">
        <f>108</f>
        <v>108</v>
      </c>
      <c r="F2682" s="33"/>
      <c r="G2682" s="34"/>
      <c r="H2682" s="4"/>
      <c r="I2682" s="4"/>
      <c r="J2682" s="33">
        <f>SUM(AG2676:AG2681)</f>
        <v>2828.06</v>
      </c>
      <c r="K2682" s="33"/>
      <c r="M2682"/>
      <c r="N2682"/>
      <c r="O2682"/>
      <c r="P2682"/>
      <c r="Q2682"/>
    </row>
    <row r="2683" spans="1:33" ht="15" x14ac:dyDescent="0.25">
      <c r="A2683" s="35"/>
      <c r="B2683" s="35"/>
      <c r="C2683" s="35"/>
      <c r="D2683" s="35"/>
      <c r="E2683" s="35"/>
      <c r="F2683" s="35"/>
      <c r="G2683" s="35"/>
      <c r="H2683" s="35"/>
      <c r="I2683" s="36">
        <f>J2678+J2680+J2682+SUM(J2681:J2681)</f>
        <v>10508.61</v>
      </c>
      <c r="J2683" s="36"/>
      <c r="K2683" s="37">
        <f>IF([1]Source!I2602&lt;&gt;0, ROUND(I2683/[1]Source!I2602, 2), 0)</f>
        <v>2420.63</v>
      </c>
      <c r="M2683"/>
      <c r="N2683"/>
      <c r="O2683"/>
      <c r="P2683"/>
      <c r="Q2683"/>
      <c r="AA2683" s="38">
        <f>I2683</f>
        <v>10508.61</v>
      </c>
    </row>
    <row r="2684" spans="1:33" ht="42.75" x14ac:dyDescent="0.2">
      <c r="A2684" s="31">
        <v>359</v>
      </c>
      <c r="B2684" s="31" t="str">
        <f>[1]Source!F2604</f>
        <v>5.3-1101-15-4/1</v>
      </c>
      <c r="C2684" s="31" t="str">
        <f>[1]Source!G2604</f>
        <v>Полив тротуаров, придомовых и внутрибольничных проездов средствами малой механизации</v>
      </c>
      <c r="D2684" s="32" t="str">
        <f>[1]Source!H2604</f>
        <v>1000 м2</v>
      </c>
      <c r="E2684" s="4">
        <f>[1]Source!I2604</f>
        <v>4.3412699999999997</v>
      </c>
      <c r="F2684" s="33"/>
      <c r="G2684" s="34"/>
      <c r="H2684" s="4"/>
      <c r="I2684" s="4"/>
      <c r="J2684" s="33"/>
      <c r="K2684" s="33"/>
      <c r="M2684"/>
      <c r="N2684"/>
      <c r="O2684"/>
      <c r="P2684"/>
      <c r="Q2684"/>
      <c r="AB2684">
        <f>ROUND(([1]Source!BZ2604/100)*ROUND(([1]Source!AF2604*[1]Source!AV2604)*[1]Source!I2604, 2), 2)</f>
        <v>0</v>
      </c>
      <c r="AC2684">
        <f>[1]Source!X2604</f>
        <v>0</v>
      </c>
      <c r="AD2684">
        <f>ROUND(([1]Source!CA2604/100)*ROUND(([1]Source!AF2604*[1]Source!AV2604)*[1]Source!I2604, 2), 2)</f>
        <v>0</v>
      </c>
      <c r="AE2684">
        <f>[1]Source!Y2604</f>
        <v>0</v>
      </c>
      <c r="AF2684">
        <f>ROUND((175/100)*ROUND(([1]Source!AE2604*[1]Source!AV2604)*[1]Source!I2604, 2), 2)</f>
        <v>262450.62</v>
      </c>
      <c r="AG2684">
        <f>ROUND((108/100)*ROUND([1]Source!CS2604*[1]Source!I2604, 2), 2)</f>
        <v>161969.51999999999</v>
      </c>
    </row>
    <row r="2685" spans="1:33" x14ac:dyDescent="0.2">
      <c r="C2685" s="40" t="str">
        <f>"Объем: "&amp;[1]Source!I2604&amp;"=4341,27/"&amp;"1000"</f>
        <v>Объем: 4,34127=4341,27/1000</v>
      </c>
      <c r="M2685"/>
      <c r="N2685"/>
      <c r="O2685"/>
      <c r="P2685"/>
      <c r="Q2685"/>
    </row>
    <row r="2686" spans="1:33" ht="14.25" x14ac:dyDescent="0.2">
      <c r="A2686" s="31"/>
      <c r="B2686" s="31"/>
      <c r="C2686" s="31" t="s">
        <v>33</v>
      </c>
      <c r="D2686" s="32"/>
      <c r="E2686" s="4"/>
      <c r="F2686" s="33">
        <f>[1]Source!AM2604</f>
        <v>469.69</v>
      </c>
      <c r="G2686" s="34" t="str">
        <f>[1]Source!DE2604</f>
        <v>)*2*90</v>
      </c>
      <c r="H2686" s="4">
        <f>[1]Source!AV2604</f>
        <v>1</v>
      </c>
      <c r="I2686" s="4">
        <f>IF([1]Source!BB2604&lt;&gt; 0, [1]Source!BB2604, 1)</f>
        <v>1</v>
      </c>
      <c r="J2686" s="33">
        <f>[1]Source!Q2604</f>
        <v>367029.2</v>
      </c>
      <c r="K2686" s="33"/>
      <c r="M2686"/>
      <c r="N2686"/>
      <c r="O2686"/>
      <c r="P2686"/>
      <c r="Q2686"/>
    </row>
    <row r="2687" spans="1:33" ht="14.25" x14ac:dyDescent="0.2">
      <c r="A2687" s="31"/>
      <c r="B2687" s="31"/>
      <c r="C2687" s="31" t="s">
        <v>37</v>
      </c>
      <c r="D2687" s="32"/>
      <c r="E2687" s="4"/>
      <c r="F2687" s="33">
        <f>[1]Source!AN2604</f>
        <v>191.92</v>
      </c>
      <c r="G2687" s="34" t="str">
        <f>[1]Source!DF2604</f>
        <v>)*2*90</v>
      </c>
      <c r="H2687" s="4">
        <f>[1]Source!AV2604</f>
        <v>1</v>
      </c>
      <c r="I2687" s="4">
        <f>IF([1]Source!BS2604&lt;&gt; 0, [1]Source!BS2604, 1)</f>
        <v>1</v>
      </c>
      <c r="J2687" s="41">
        <f>[1]Source!R2604</f>
        <v>149971.78</v>
      </c>
      <c r="K2687" s="33"/>
      <c r="M2687"/>
      <c r="N2687"/>
      <c r="O2687"/>
      <c r="P2687"/>
      <c r="Q2687"/>
    </row>
    <row r="2688" spans="1:33" ht="14.25" x14ac:dyDescent="0.2">
      <c r="A2688" s="31"/>
      <c r="B2688" s="31"/>
      <c r="C2688" s="31" t="s">
        <v>47</v>
      </c>
      <c r="D2688" s="32"/>
      <c r="E2688" s="4"/>
      <c r="F2688" s="33">
        <f>[1]Source!AL2604</f>
        <v>14.85</v>
      </c>
      <c r="G2688" s="34" t="str">
        <f>[1]Source!DD2604</f>
        <v>)*2*90</v>
      </c>
      <c r="H2688" s="4">
        <f>[1]Source!AW2604</f>
        <v>1</v>
      </c>
      <c r="I2688" s="4">
        <f>IF([1]Source!BC2604&lt;&gt; 0, [1]Source!BC2604, 1)</f>
        <v>1</v>
      </c>
      <c r="J2688" s="33">
        <f>[1]Source!P2604</f>
        <v>11604.21</v>
      </c>
      <c r="K2688" s="33"/>
      <c r="M2688"/>
      <c r="N2688"/>
      <c r="O2688"/>
      <c r="P2688"/>
      <c r="Q2688"/>
    </row>
    <row r="2689" spans="1:43" ht="14.25" x14ac:dyDescent="0.2">
      <c r="A2689" s="31" t="s">
        <v>113</v>
      </c>
      <c r="B2689" s="31" t="str">
        <f>[1]Source!F2605</f>
        <v>21.1-25-13</v>
      </c>
      <c r="C2689" s="31" t="str">
        <f>[1]Source!G2605</f>
        <v>Вода</v>
      </c>
      <c r="D2689" s="32" t="str">
        <f>[1]Source!H2605</f>
        <v>м3</v>
      </c>
      <c r="E2689" s="4">
        <f>[1]Source!I2605</f>
        <v>-273.50000999999997</v>
      </c>
      <c r="F2689" s="33">
        <f>[1]Source!AK2605</f>
        <v>42.44</v>
      </c>
      <c r="G2689" s="39" t="s">
        <v>104</v>
      </c>
      <c r="H2689" s="4">
        <f>[1]Source!AW2605</f>
        <v>1</v>
      </c>
      <c r="I2689" s="4">
        <f>IF([1]Source!BC2605&lt;&gt; 0, [1]Source!BC2605, 1)</f>
        <v>1</v>
      </c>
      <c r="J2689" s="33">
        <f>[1]Source!O2605</f>
        <v>-11607.34</v>
      </c>
      <c r="K2689" s="33"/>
      <c r="M2689"/>
      <c r="N2689"/>
      <c r="O2689"/>
      <c r="P2689"/>
      <c r="Q2689"/>
      <c r="AB2689">
        <f>ROUND(([1]Source!BZ2605/100)*ROUND(([1]Source!AF2605*[1]Source!AV2605)*[1]Source!I2605, 2), 2)</f>
        <v>0</v>
      </c>
      <c r="AC2689">
        <f>[1]Source!X2605</f>
        <v>0</v>
      </c>
      <c r="AD2689">
        <f>ROUND(([1]Source!CA2605/100)*ROUND(([1]Source!AF2605*[1]Source!AV2605)*[1]Source!I2605, 2), 2)</f>
        <v>0</v>
      </c>
      <c r="AE2689">
        <f>[1]Source!Y2605</f>
        <v>0</v>
      </c>
      <c r="AF2689">
        <f>ROUND((175/100)*ROUND(([1]Source!AE2605*[1]Source!AV2605)*[1]Source!I2605, 2), 2)</f>
        <v>0</v>
      </c>
      <c r="AG2689">
        <f>ROUND((108/100)*ROUND([1]Source!CS2605*[1]Source!I2605, 2), 2)</f>
        <v>0</v>
      </c>
    </row>
    <row r="2690" spans="1:43" ht="14.25" x14ac:dyDescent="0.2">
      <c r="A2690" s="31"/>
      <c r="B2690" s="31"/>
      <c r="C2690" s="31" t="s">
        <v>38</v>
      </c>
      <c r="D2690" s="32" t="s">
        <v>39</v>
      </c>
      <c r="E2690" s="4">
        <f>108</f>
        <v>108</v>
      </c>
      <c r="F2690" s="33"/>
      <c r="G2690" s="34"/>
      <c r="H2690" s="4"/>
      <c r="I2690" s="4"/>
      <c r="J2690" s="33">
        <f>SUM(AG2684:AG2689)</f>
        <v>161969.51999999999</v>
      </c>
      <c r="K2690" s="33"/>
      <c r="M2690"/>
      <c r="N2690"/>
      <c r="O2690"/>
      <c r="P2690"/>
      <c r="Q2690"/>
    </row>
    <row r="2691" spans="1:43" ht="15" x14ac:dyDescent="0.25">
      <c r="A2691" s="35"/>
      <c r="B2691" s="35"/>
      <c r="C2691" s="35"/>
      <c r="D2691" s="35"/>
      <c r="E2691" s="35"/>
      <c r="F2691" s="35"/>
      <c r="G2691" s="35"/>
      <c r="H2691" s="35"/>
      <c r="I2691" s="36">
        <f>J2686+J2688+J2690+SUM(J2689:J2689)</f>
        <v>528995.59000000008</v>
      </c>
      <c r="J2691" s="36"/>
      <c r="K2691" s="37">
        <f>IF([1]Source!I2604&lt;&gt;0, ROUND(I2691/[1]Source!I2604, 2), 0)</f>
        <v>121852.73</v>
      </c>
      <c r="M2691"/>
      <c r="N2691"/>
      <c r="O2691"/>
      <c r="P2691"/>
      <c r="Q2691"/>
      <c r="AA2691" s="38">
        <f>I2691</f>
        <v>528995.59000000008</v>
      </c>
    </row>
    <row r="2692" spans="1:43" x14ac:dyDescent="0.2">
      <c r="M2692"/>
      <c r="N2692"/>
      <c r="O2692"/>
      <c r="P2692"/>
      <c r="Q2692"/>
    </row>
    <row r="2693" spans="1:43" ht="15" x14ac:dyDescent="0.25">
      <c r="A2693" s="42" t="str">
        <f>CONCATENATE("Итого по разделу: ",IF([1]Source!G2607&lt;&gt;"Новый раздел", [1]Source!G2607, ""))</f>
        <v>Итого по разделу: Содержание дорожек с мощением, 100% пешеходным ( 4341,27 м2)( МКЗ)</v>
      </c>
      <c r="B2693" s="42"/>
      <c r="C2693" s="42"/>
      <c r="D2693" s="42"/>
      <c r="E2693" s="42"/>
      <c r="F2693" s="42"/>
      <c r="G2693" s="42"/>
      <c r="H2693" s="42"/>
      <c r="I2693" s="43">
        <f>SUM(AA2653:AA2692)</f>
        <v>3461738.63</v>
      </c>
      <c r="J2693" s="44"/>
      <c r="K2693" s="47"/>
      <c r="L2693" s="38">
        <f>I2693</f>
        <v>3461738.63</v>
      </c>
      <c r="M2693" s="2">
        <f>ROUND(I2693*$I$4874,2)</f>
        <v>2500091.34</v>
      </c>
      <c r="N2693" s="2">
        <f>ROUND(M2693*1.2/105*100,2)</f>
        <v>2857247.25</v>
      </c>
      <c r="O2693" s="2">
        <f>ROUND(N2693*0.05,2)</f>
        <v>142862.35999999999</v>
      </c>
      <c r="P2693" s="2">
        <f>N2693+O2693</f>
        <v>3000109.61</v>
      </c>
      <c r="Q2693" s="3">
        <v>74</v>
      </c>
      <c r="R2693">
        <v>2</v>
      </c>
      <c r="S2693" s="2">
        <v>0</v>
      </c>
      <c r="AQ2693" s="46" t="str">
        <f>CONCATENATE("Итого по разделу: ",IF([1]Source!G2607&lt;&gt;"Новый раздел", [1]Source!G2607, ""))</f>
        <v>Итого по разделу: Содержание дорожек с мощением, 100% пешеходным ( 4341,27 м2)( МКЗ)</v>
      </c>
    </row>
    <row r="2694" spans="1:43" x14ac:dyDescent="0.2">
      <c r="M2694"/>
      <c r="N2694"/>
      <c r="O2694"/>
      <c r="P2694"/>
      <c r="Q2694"/>
    </row>
    <row r="2695" spans="1:43" x14ac:dyDescent="0.2">
      <c r="M2695"/>
      <c r="N2695"/>
      <c r="O2695"/>
      <c r="P2695"/>
      <c r="Q2695"/>
    </row>
    <row r="2696" spans="1:43" ht="16.5" x14ac:dyDescent="0.25">
      <c r="A2696" s="29" t="str">
        <f>CONCATENATE("Раздел: ",IF([1]Source!G2637&lt;&gt;"Новый раздел", [1]Source!G2637, ""))</f>
        <v>Раздел: Содержание садово-парковых дорожек с мощением парковым пиксельным( 50% )( S=3440 м2)</v>
      </c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M2696"/>
      <c r="N2696"/>
      <c r="O2696"/>
      <c r="P2696"/>
      <c r="Q2696"/>
    </row>
    <row r="2697" spans="1:43" ht="28.5" x14ac:dyDescent="0.2">
      <c r="A2697" s="31">
        <v>360</v>
      </c>
      <c r="B2697" s="31" t="str">
        <f>[1]Source!F2641</f>
        <v>5.3-1101-13-1/1</v>
      </c>
      <c r="C2697" s="31" t="str">
        <f>[1]Source!G2641</f>
        <v>Подметание вручную дорожек и площадок с твердым покрытием</v>
      </c>
      <c r="D2697" s="32" t="str">
        <f>[1]Source!H2641</f>
        <v>100 м2</v>
      </c>
      <c r="E2697" s="4">
        <f>[1]Source!I2641</f>
        <v>34.4</v>
      </c>
      <c r="F2697" s="33"/>
      <c r="G2697" s="34"/>
      <c r="H2697" s="4"/>
      <c r="I2697" s="4"/>
      <c r="J2697" s="33"/>
      <c r="K2697" s="33"/>
      <c r="M2697"/>
      <c r="N2697"/>
      <c r="O2697"/>
      <c r="P2697"/>
      <c r="Q2697"/>
      <c r="AB2697">
        <f>ROUND(([1]Source!BZ2641/100)*ROUND(([1]Source!AF2641*[1]Source!AV2641)*[1]Source!I2641, 2), 2)</f>
        <v>997965.26</v>
      </c>
      <c r="AC2697">
        <f>[1]Source!X2641</f>
        <v>997965.26</v>
      </c>
      <c r="AD2697">
        <f>ROUND(([1]Source!CA2641/100)*ROUND(([1]Source!AF2641*[1]Source!AV2641)*[1]Source!I2641, 2), 2)</f>
        <v>142566.47</v>
      </c>
      <c r="AE2697">
        <f>[1]Source!Y2641</f>
        <v>142566.47</v>
      </c>
      <c r="AF2697">
        <f>ROUND((175/100)*ROUND(([1]Source!AE2641*[1]Source!AV2641)*[1]Source!I2641, 2), 2)</f>
        <v>0</v>
      </c>
      <c r="AG2697">
        <f>ROUND((108/100)*ROUND([1]Source!CS2641*[1]Source!I2641, 2), 2)</f>
        <v>0</v>
      </c>
    </row>
    <row r="2698" spans="1:43" x14ac:dyDescent="0.2">
      <c r="C2698" s="40" t="str">
        <f>"Объем: "&amp;[1]Source!I2641&amp;"=3440/"&amp;"100"</f>
        <v>Объем: 34,4=3440/100</v>
      </c>
      <c r="M2698"/>
      <c r="N2698"/>
      <c r="O2698"/>
      <c r="P2698"/>
      <c r="Q2698"/>
    </row>
    <row r="2699" spans="1:43" ht="14.25" x14ac:dyDescent="0.2">
      <c r="A2699" s="31"/>
      <c r="B2699" s="31"/>
      <c r="C2699" s="31" t="s">
        <v>34</v>
      </c>
      <c r="D2699" s="32"/>
      <c r="E2699" s="4"/>
      <c r="F2699" s="33">
        <f>[1]Source!AO2641</f>
        <v>34.71</v>
      </c>
      <c r="G2699" s="34" t="str">
        <f>[1]Source!DG2641</f>
        <v>)*3*398</v>
      </c>
      <c r="H2699" s="4">
        <f>[1]Source!AV2641</f>
        <v>1</v>
      </c>
      <c r="I2699" s="4">
        <f>IF([1]Source!BA2641&lt;&gt; 0, [1]Source!BA2641, 1)</f>
        <v>1</v>
      </c>
      <c r="J2699" s="33">
        <f>[1]Source!S2641</f>
        <v>1425664.66</v>
      </c>
      <c r="K2699" s="33"/>
      <c r="M2699"/>
      <c r="N2699"/>
      <c r="O2699"/>
      <c r="P2699"/>
      <c r="Q2699"/>
    </row>
    <row r="2700" spans="1:43" ht="14.25" x14ac:dyDescent="0.2">
      <c r="A2700" s="31"/>
      <c r="B2700" s="31"/>
      <c r="C2700" s="31" t="s">
        <v>40</v>
      </c>
      <c r="D2700" s="32" t="s">
        <v>39</v>
      </c>
      <c r="E2700" s="4">
        <f>[1]Source!AT2641</f>
        <v>70</v>
      </c>
      <c r="F2700" s="33"/>
      <c r="G2700" s="34"/>
      <c r="H2700" s="4"/>
      <c r="I2700" s="4"/>
      <c r="J2700" s="33">
        <f>SUM(AC2697:AC2699)</f>
        <v>997965.26</v>
      </c>
      <c r="K2700" s="33"/>
      <c r="M2700"/>
      <c r="N2700"/>
      <c r="O2700"/>
      <c r="P2700"/>
      <c r="Q2700"/>
    </row>
    <row r="2701" spans="1:43" ht="14.25" x14ac:dyDescent="0.2">
      <c r="A2701" s="31"/>
      <c r="B2701" s="31"/>
      <c r="C2701" s="31" t="s">
        <v>41</v>
      </c>
      <c r="D2701" s="32" t="s">
        <v>39</v>
      </c>
      <c r="E2701" s="4">
        <f>[1]Source!AU2641</f>
        <v>10</v>
      </c>
      <c r="F2701" s="33"/>
      <c r="G2701" s="34"/>
      <c r="H2701" s="4"/>
      <c r="I2701" s="4"/>
      <c r="J2701" s="33">
        <f>SUM(AE2697:AE2700)</f>
        <v>142566.47</v>
      </c>
      <c r="K2701" s="33"/>
      <c r="M2701"/>
      <c r="N2701"/>
      <c r="O2701"/>
      <c r="P2701"/>
      <c r="Q2701"/>
    </row>
    <row r="2702" spans="1:43" ht="14.25" x14ac:dyDescent="0.2">
      <c r="A2702" s="31"/>
      <c r="B2702" s="31"/>
      <c r="C2702" s="31" t="s">
        <v>42</v>
      </c>
      <c r="D2702" s="32" t="s">
        <v>43</v>
      </c>
      <c r="E2702" s="4">
        <f>[1]Source!AQ2641</f>
        <v>0.14000000000000001</v>
      </c>
      <c r="F2702" s="33"/>
      <c r="G2702" s="34" t="str">
        <f>[1]Source!DI2641</f>
        <v>)*3*398</v>
      </c>
      <c r="H2702" s="4">
        <f>[1]Source!AV2641</f>
        <v>1</v>
      </c>
      <c r="I2702" s="4"/>
      <c r="J2702" s="33"/>
      <c r="K2702" s="33">
        <f>[1]Source!U2641</f>
        <v>5750.304000000001</v>
      </c>
      <c r="M2702"/>
      <c r="N2702"/>
      <c r="O2702"/>
      <c r="P2702"/>
      <c r="Q2702"/>
    </row>
    <row r="2703" spans="1:43" ht="15" x14ac:dyDescent="0.25">
      <c r="A2703" s="35"/>
      <c r="B2703" s="35"/>
      <c r="C2703" s="35"/>
      <c r="D2703" s="35"/>
      <c r="E2703" s="35"/>
      <c r="F2703" s="35"/>
      <c r="G2703" s="35"/>
      <c r="H2703" s="35"/>
      <c r="I2703" s="36">
        <f>J2699+J2700+J2701</f>
        <v>2566196.39</v>
      </c>
      <c r="J2703" s="36"/>
      <c r="K2703" s="37">
        <f>IF([1]Source!I2641&lt;&gt;0, ROUND(I2703/[1]Source!I2641, 2), 0)</f>
        <v>74598.73</v>
      </c>
      <c r="M2703"/>
      <c r="N2703"/>
      <c r="O2703"/>
      <c r="P2703"/>
      <c r="Q2703"/>
      <c r="AA2703" s="38">
        <f>I2703</f>
        <v>2566196.39</v>
      </c>
    </row>
    <row r="2704" spans="1:43" ht="28.5" x14ac:dyDescent="0.2">
      <c r="A2704" s="31">
        <v>361</v>
      </c>
      <c r="B2704" s="31" t="str">
        <f>[1]Source!F2642</f>
        <v>5.3-1101-13-3/1</v>
      </c>
      <c r="C2704" s="31" t="str">
        <f>[1]Source!G2642</f>
        <v>Подметание вручную дорожек и площадок в дни листопада</v>
      </c>
      <c r="D2704" s="32" t="str">
        <f>[1]Source!H2642</f>
        <v>100 м2</v>
      </c>
      <c r="E2704" s="4">
        <f>[1]Source!I2642</f>
        <v>34.4</v>
      </c>
      <c r="F2704" s="33"/>
      <c r="G2704" s="34"/>
      <c r="H2704" s="4"/>
      <c r="I2704" s="4"/>
      <c r="J2704" s="33"/>
      <c r="K2704" s="33"/>
      <c r="M2704"/>
      <c r="N2704"/>
      <c r="O2704"/>
      <c r="P2704"/>
      <c r="Q2704"/>
      <c r="AB2704">
        <f>ROUND(([1]Source!BZ2642/100)*ROUND(([1]Source!AF2642*[1]Source!AV2642)*[1]Source!I2642, 2), 2)</f>
        <v>132531.5</v>
      </c>
      <c r="AC2704">
        <f>[1]Source!X2642</f>
        <v>132531.5</v>
      </c>
      <c r="AD2704">
        <f>ROUND(([1]Source!CA2642/100)*ROUND(([1]Source!AF2642*[1]Source!AV2642)*[1]Source!I2642, 2), 2)</f>
        <v>18933.07</v>
      </c>
      <c r="AE2704">
        <f>[1]Source!Y2642</f>
        <v>18933.07</v>
      </c>
      <c r="AF2704">
        <f>ROUND((175/100)*ROUND(([1]Source!AE2642*[1]Source!AV2642)*[1]Source!I2642, 2), 2)</f>
        <v>0</v>
      </c>
      <c r="AG2704">
        <f>ROUND((108/100)*ROUND([1]Source!CS2642*[1]Source!I2642, 2), 2)</f>
        <v>0</v>
      </c>
    </row>
    <row r="2705" spans="1:33" x14ac:dyDescent="0.2">
      <c r="C2705" s="40" t="str">
        <f>"Объем: "&amp;[1]Source!I2642&amp;"=3440/"&amp;"100"</f>
        <v>Объем: 34,4=3440/100</v>
      </c>
      <c r="M2705"/>
      <c r="N2705"/>
      <c r="O2705"/>
      <c r="P2705"/>
      <c r="Q2705"/>
    </row>
    <row r="2706" spans="1:33" ht="14.25" x14ac:dyDescent="0.2">
      <c r="A2706" s="31"/>
      <c r="B2706" s="31"/>
      <c r="C2706" s="31" t="s">
        <v>34</v>
      </c>
      <c r="D2706" s="32"/>
      <c r="E2706" s="4"/>
      <c r="F2706" s="33">
        <f>[1]Source!AO2642</f>
        <v>91.73</v>
      </c>
      <c r="G2706" s="34" t="str">
        <f>[1]Source!DG2642</f>
        <v>)*1*60</v>
      </c>
      <c r="H2706" s="4">
        <f>[1]Source!AV2642</f>
        <v>1</v>
      </c>
      <c r="I2706" s="4">
        <f>IF([1]Source!BA2642&lt;&gt; 0, [1]Source!BA2642, 1)</f>
        <v>1</v>
      </c>
      <c r="J2706" s="33">
        <f>[1]Source!S2642</f>
        <v>189330.72</v>
      </c>
      <c r="K2706" s="33"/>
      <c r="M2706"/>
      <c r="N2706"/>
      <c r="O2706"/>
      <c r="P2706"/>
      <c r="Q2706"/>
    </row>
    <row r="2707" spans="1:33" ht="14.25" x14ac:dyDescent="0.2">
      <c r="A2707" s="31"/>
      <c r="B2707" s="31"/>
      <c r="C2707" s="31" t="s">
        <v>40</v>
      </c>
      <c r="D2707" s="32" t="s">
        <v>39</v>
      </c>
      <c r="E2707" s="4">
        <f>[1]Source!AT2642</f>
        <v>70</v>
      </c>
      <c r="F2707" s="33"/>
      <c r="G2707" s="34"/>
      <c r="H2707" s="4"/>
      <c r="I2707" s="4"/>
      <c r="J2707" s="33">
        <f>SUM(AC2704:AC2706)</f>
        <v>132531.5</v>
      </c>
      <c r="K2707" s="33"/>
      <c r="M2707"/>
      <c r="N2707"/>
      <c r="O2707"/>
      <c r="P2707"/>
      <c r="Q2707"/>
    </row>
    <row r="2708" spans="1:33" ht="14.25" x14ac:dyDescent="0.2">
      <c r="A2708" s="31"/>
      <c r="B2708" s="31"/>
      <c r="C2708" s="31" t="s">
        <v>41</v>
      </c>
      <c r="D2708" s="32" t="s">
        <v>39</v>
      </c>
      <c r="E2708" s="4">
        <f>[1]Source!AU2642</f>
        <v>10</v>
      </c>
      <c r="F2708" s="33"/>
      <c r="G2708" s="34"/>
      <c r="H2708" s="4"/>
      <c r="I2708" s="4"/>
      <c r="J2708" s="33">
        <f>SUM(AE2704:AE2707)</f>
        <v>18933.07</v>
      </c>
      <c r="K2708" s="33"/>
      <c r="M2708"/>
      <c r="N2708"/>
      <c r="O2708"/>
      <c r="P2708"/>
      <c r="Q2708"/>
    </row>
    <row r="2709" spans="1:33" ht="14.25" x14ac:dyDescent="0.2">
      <c r="A2709" s="31"/>
      <c r="B2709" s="31"/>
      <c r="C2709" s="31" t="s">
        <v>42</v>
      </c>
      <c r="D2709" s="32" t="s">
        <v>43</v>
      </c>
      <c r="E2709" s="4">
        <f>[1]Source!AQ2642</f>
        <v>0.37</v>
      </c>
      <c r="F2709" s="33"/>
      <c r="G2709" s="34" t="str">
        <f>[1]Source!DI2642</f>
        <v>)*1*60</v>
      </c>
      <c r="H2709" s="4">
        <f>[1]Source!AV2642</f>
        <v>1</v>
      </c>
      <c r="I2709" s="4"/>
      <c r="J2709" s="33"/>
      <c r="K2709" s="33">
        <f>[1]Source!U2642</f>
        <v>763.68</v>
      </c>
      <c r="M2709"/>
      <c r="N2709"/>
      <c r="O2709"/>
      <c r="P2709"/>
      <c r="Q2709"/>
    </row>
    <row r="2710" spans="1:33" ht="15" x14ac:dyDescent="0.25">
      <c r="A2710" s="35"/>
      <c r="B2710" s="35"/>
      <c r="C2710" s="35"/>
      <c r="D2710" s="35"/>
      <c r="E2710" s="35"/>
      <c r="F2710" s="35"/>
      <c r="G2710" s="35"/>
      <c r="H2710" s="35"/>
      <c r="I2710" s="36">
        <f>J2706+J2707+J2708</f>
        <v>340795.29</v>
      </c>
      <c r="J2710" s="36"/>
      <c r="K2710" s="37">
        <f>IF([1]Source!I2642&lt;&gt;0, ROUND(I2710/[1]Source!I2642, 2), 0)</f>
        <v>9906.84</v>
      </c>
      <c r="M2710"/>
      <c r="N2710"/>
      <c r="O2710"/>
      <c r="P2710"/>
      <c r="Q2710"/>
      <c r="AA2710" s="38">
        <f>I2710</f>
        <v>340795.29</v>
      </c>
    </row>
    <row r="2711" spans="1:33" ht="14.25" x14ac:dyDescent="0.2">
      <c r="A2711" s="31">
        <v>362</v>
      </c>
      <c r="B2711" s="31" t="str">
        <f>[1]Source!F2643</f>
        <v>5.3-1101-14-1/1</v>
      </c>
      <c r="C2711" s="31" t="str">
        <f>[1]Source!G2643</f>
        <v>Полив дорожек из шланга вручную</v>
      </c>
      <c r="D2711" s="32" t="str">
        <f>[1]Source!H2643</f>
        <v>100 м2</v>
      </c>
      <c r="E2711" s="4">
        <f>[1]Source!I2643</f>
        <v>34.4</v>
      </c>
      <c r="F2711" s="33"/>
      <c r="G2711" s="34"/>
      <c r="H2711" s="4"/>
      <c r="I2711" s="4"/>
      <c r="J2711" s="33"/>
      <c r="K2711" s="33"/>
      <c r="M2711"/>
      <c r="N2711"/>
      <c r="O2711"/>
      <c r="P2711"/>
      <c r="Q2711"/>
      <c r="AB2711">
        <f>ROUND(([1]Source!BZ2643/100)*ROUND(([1]Source!AF2643*[1]Source!AV2643)*[1]Source!I2643, 2), 2)</f>
        <v>139697.71</v>
      </c>
      <c r="AC2711">
        <f>[1]Source!X2643</f>
        <v>139697.71</v>
      </c>
      <c r="AD2711">
        <f>ROUND(([1]Source!CA2643/100)*ROUND(([1]Source!AF2643*[1]Source!AV2643)*[1]Source!I2643, 2), 2)</f>
        <v>19956.82</v>
      </c>
      <c r="AE2711">
        <f>[1]Source!Y2643</f>
        <v>19956.82</v>
      </c>
      <c r="AF2711">
        <f>ROUND((175/100)*ROUND(([1]Source!AE2643*[1]Source!AV2643)*[1]Source!I2643, 2), 2)</f>
        <v>0</v>
      </c>
      <c r="AG2711">
        <f>ROUND((108/100)*ROUND([1]Source!CS2643*[1]Source!I2643, 2), 2)</f>
        <v>0</v>
      </c>
    </row>
    <row r="2712" spans="1:33" x14ac:dyDescent="0.2">
      <c r="C2712" s="40" t="str">
        <f>"Объем: "&amp;[1]Source!I2643&amp;"=3440/"&amp;"100"</f>
        <v>Объем: 34,4=3440/100</v>
      </c>
      <c r="M2712"/>
      <c r="N2712"/>
      <c r="O2712"/>
      <c r="P2712"/>
      <c r="Q2712"/>
    </row>
    <row r="2713" spans="1:33" ht="14.25" x14ac:dyDescent="0.2">
      <c r="A2713" s="31"/>
      <c r="B2713" s="31"/>
      <c r="C2713" s="31" t="s">
        <v>34</v>
      </c>
      <c r="D2713" s="32"/>
      <c r="E2713" s="4"/>
      <c r="F2713" s="33">
        <f>[1]Source!AO2643</f>
        <v>32.229999999999997</v>
      </c>
      <c r="G2713" s="34" t="str">
        <f>[1]Source!DG2643</f>
        <v>)*2*90</v>
      </c>
      <c r="H2713" s="4">
        <f>[1]Source!AV2643</f>
        <v>1</v>
      </c>
      <c r="I2713" s="4">
        <f>IF([1]Source!BA2643&lt;&gt; 0, [1]Source!BA2643, 1)</f>
        <v>1</v>
      </c>
      <c r="J2713" s="33">
        <f>[1]Source!S2643</f>
        <v>199568.16</v>
      </c>
      <c r="K2713" s="33"/>
      <c r="M2713"/>
      <c r="N2713"/>
      <c r="O2713"/>
      <c r="P2713"/>
      <c r="Q2713"/>
    </row>
    <row r="2714" spans="1:33" ht="14.25" x14ac:dyDescent="0.2">
      <c r="A2714" s="31"/>
      <c r="B2714" s="31"/>
      <c r="C2714" s="31" t="s">
        <v>47</v>
      </c>
      <c r="D2714" s="32"/>
      <c r="E2714" s="4"/>
      <c r="F2714" s="33">
        <f>[1]Source!AL2643</f>
        <v>4.24</v>
      </c>
      <c r="G2714" s="34" t="str">
        <f>[1]Source!DD2643</f>
        <v>)*2*90</v>
      </c>
      <c r="H2714" s="4">
        <f>[1]Source!AW2643</f>
        <v>1</v>
      </c>
      <c r="I2714" s="4">
        <f>IF([1]Source!BC2643&lt;&gt; 0, [1]Source!BC2643, 1)</f>
        <v>1</v>
      </c>
      <c r="J2714" s="33">
        <f>[1]Source!P2643</f>
        <v>26254.080000000002</v>
      </c>
      <c r="K2714" s="33"/>
      <c r="M2714"/>
      <c r="N2714"/>
      <c r="O2714"/>
      <c r="P2714"/>
      <c r="Q2714"/>
    </row>
    <row r="2715" spans="1:33" ht="14.25" x14ac:dyDescent="0.2">
      <c r="A2715" s="31" t="s">
        <v>114</v>
      </c>
      <c r="B2715" s="31" t="str">
        <f>[1]Source!F2644</f>
        <v>21.1-25-13</v>
      </c>
      <c r="C2715" s="31" t="str">
        <f>[1]Source!G2644</f>
        <v>Вода</v>
      </c>
      <c r="D2715" s="32" t="str">
        <f>[1]Source!H2644</f>
        <v>м3</v>
      </c>
      <c r="E2715" s="4">
        <f>[1]Source!I2644</f>
        <v>-619.20000000000005</v>
      </c>
      <c r="F2715" s="33">
        <f>[1]Source!AK2644</f>
        <v>42.44</v>
      </c>
      <c r="G2715" s="39" t="s">
        <v>104</v>
      </c>
      <c r="H2715" s="4">
        <f>[1]Source!AW2644</f>
        <v>1</v>
      </c>
      <c r="I2715" s="4">
        <f>IF([1]Source!BC2644&lt;&gt; 0, [1]Source!BC2644, 1)</f>
        <v>1</v>
      </c>
      <c r="J2715" s="33">
        <f>[1]Source!O2644</f>
        <v>-26278.85</v>
      </c>
      <c r="K2715" s="33"/>
      <c r="M2715"/>
      <c r="N2715"/>
      <c r="O2715"/>
      <c r="P2715"/>
      <c r="Q2715"/>
      <c r="AB2715">
        <f>ROUND(([1]Source!BZ2644/100)*ROUND(([1]Source!AF2644*[1]Source!AV2644)*[1]Source!I2644, 2), 2)</f>
        <v>0</v>
      </c>
      <c r="AC2715">
        <f>[1]Source!X2644</f>
        <v>0</v>
      </c>
      <c r="AD2715">
        <f>ROUND(([1]Source!CA2644/100)*ROUND(([1]Source!AF2644*[1]Source!AV2644)*[1]Source!I2644, 2), 2)</f>
        <v>0</v>
      </c>
      <c r="AE2715">
        <f>[1]Source!Y2644</f>
        <v>0</v>
      </c>
      <c r="AF2715">
        <f>ROUND((175/100)*ROUND(([1]Source!AE2644*[1]Source!AV2644)*[1]Source!I2644, 2), 2)</f>
        <v>0</v>
      </c>
      <c r="AG2715">
        <f>ROUND((108/100)*ROUND([1]Source!CS2644*[1]Source!I2644, 2), 2)</f>
        <v>0</v>
      </c>
    </row>
    <row r="2716" spans="1:33" ht="14.25" x14ac:dyDescent="0.2">
      <c r="A2716" s="31"/>
      <c r="B2716" s="31"/>
      <c r="C2716" s="31" t="s">
        <v>40</v>
      </c>
      <c r="D2716" s="32" t="s">
        <v>39</v>
      </c>
      <c r="E2716" s="4">
        <f>[1]Source!AT2643</f>
        <v>70</v>
      </c>
      <c r="F2716" s="33"/>
      <c r="G2716" s="34"/>
      <c r="H2716" s="4"/>
      <c r="I2716" s="4"/>
      <c r="J2716" s="33">
        <f>SUM(AC2711:AC2715)</f>
        <v>139697.71</v>
      </c>
      <c r="K2716" s="33"/>
      <c r="M2716"/>
      <c r="N2716"/>
      <c r="O2716"/>
      <c r="P2716"/>
      <c r="Q2716"/>
    </row>
    <row r="2717" spans="1:33" ht="14.25" x14ac:dyDescent="0.2">
      <c r="A2717" s="31"/>
      <c r="B2717" s="31"/>
      <c r="C2717" s="31" t="s">
        <v>41</v>
      </c>
      <c r="D2717" s="32" t="s">
        <v>39</v>
      </c>
      <c r="E2717" s="4">
        <f>[1]Source!AU2643</f>
        <v>10</v>
      </c>
      <c r="F2717" s="33"/>
      <c r="G2717" s="34"/>
      <c r="H2717" s="4"/>
      <c r="I2717" s="4"/>
      <c r="J2717" s="33">
        <f>SUM(AE2711:AE2716)</f>
        <v>19956.82</v>
      </c>
      <c r="K2717" s="33"/>
      <c r="M2717"/>
      <c r="N2717"/>
      <c r="O2717"/>
      <c r="P2717"/>
      <c r="Q2717"/>
    </row>
    <row r="2718" spans="1:33" ht="14.25" x14ac:dyDescent="0.2">
      <c r="A2718" s="31"/>
      <c r="B2718" s="31"/>
      <c r="C2718" s="31" t="s">
        <v>42</v>
      </c>
      <c r="D2718" s="32" t="s">
        <v>43</v>
      </c>
      <c r="E2718" s="4">
        <f>[1]Source!AQ2643</f>
        <v>0.13</v>
      </c>
      <c r="F2718" s="33"/>
      <c r="G2718" s="34" t="str">
        <f>[1]Source!DI2643</f>
        <v>)*2*90</v>
      </c>
      <c r="H2718" s="4">
        <f>[1]Source!AV2643</f>
        <v>1</v>
      </c>
      <c r="I2718" s="4"/>
      <c r="J2718" s="33"/>
      <c r="K2718" s="33">
        <f>[1]Source!U2643</f>
        <v>804.96</v>
      </c>
      <c r="M2718"/>
      <c r="N2718"/>
      <c r="O2718"/>
      <c r="P2718"/>
      <c r="Q2718"/>
    </row>
    <row r="2719" spans="1:33" ht="15" x14ac:dyDescent="0.25">
      <c r="A2719" s="35"/>
      <c r="B2719" s="35"/>
      <c r="C2719" s="35"/>
      <c r="D2719" s="35"/>
      <c r="E2719" s="35"/>
      <c r="F2719" s="35"/>
      <c r="G2719" s="35"/>
      <c r="H2719" s="35"/>
      <c r="I2719" s="36">
        <f>J2713+J2714+J2716+J2717+SUM(J2715:J2715)</f>
        <v>359197.92</v>
      </c>
      <c r="J2719" s="36"/>
      <c r="K2719" s="37">
        <f>IF([1]Source!I2643&lt;&gt;0, ROUND(I2719/[1]Source!I2643, 2), 0)</f>
        <v>10441.799999999999</v>
      </c>
      <c r="M2719"/>
      <c r="N2719"/>
      <c r="O2719"/>
      <c r="P2719"/>
      <c r="Q2719"/>
      <c r="AA2719" s="38">
        <f>I2719</f>
        <v>359197.92</v>
      </c>
    </row>
    <row r="2720" spans="1:33" x14ac:dyDescent="0.2">
      <c r="M2720"/>
      <c r="N2720"/>
      <c r="O2720"/>
      <c r="P2720"/>
      <c r="Q2720"/>
    </row>
    <row r="2721" spans="1:43" ht="30" x14ac:dyDescent="0.25">
      <c r="A2721" s="42" t="str">
        <f>CONCATENATE("Итого по разделу: ",IF([1]Source!G2646&lt;&gt;"Новый раздел", [1]Source!G2646, ""))</f>
        <v>Итого по разделу: Содержание садово-парковых дорожек с мощением парковым пиксельным( 50% )( S=3440 м2)</v>
      </c>
      <c r="B2721" s="42"/>
      <c r="C2721" s="42"/>
      <c r="D2721" s="42"/>
      <c r="E2721" s="42"/>
      <c r="F2721" s="42"/>
      <c r="G2721" s="42"/>
      <c r="H2721" s="42"/>
      <c r="I2721" s="43">
        <f>SUM(AA2696:AA2720)</f>
        <v>3266189.6</v>
      </c>
      <c r="J2721" s="44"/>
      <c r="K2721" s="47"/>
      <c r="L2721" s="38">
        <f>I2721</f>
        <v>3266189.6</v>
      </c>
      <c r="M2721" s="2">
        <f>ROUND(I2721*$I$4874,2)</f>
        <v>2358864.5</v>
      </c>
      <c r="N2721" s="2">
        <f>ROUND(M2721*1.2/105*100,2)</f>
        <v>2695845.14</v>
      </c>
      <c r="O2721" s="2">
        <f>ROUND(N2721*0.05,2)</f>
        <v>134792.26</v>
      </c>
      <c r="P2721" s="2">
        <f>N2721+O2721</f>
        <v>2830637.4000000004</v>
      </c>
      <c r="Q2721" s="3">
        <v>75</v>
      </c>
      <c r="R2721">
        <v>2</v>
      </c>
      <c r="S2721" s="2">
        <v>0</v>
      </c>
      <c r="AQ2721" s="46" t="str">
        <f>CONCATENATE("Итого по разделу: ",IF([1]Source!G2646&lt;&gt;"Новый раздел", [1]Source!G2646, ""))</f>
        <v>Итого по разделу: Содержание садово-парковых дорожек с мощением парковым пиксельным( 50% )( S=3440 м2)</v>
      </c>
    </row>
    <row r="2722" spans="1:43" x14ac:dyDescent="0.2">
      <c r="M2722"/>
      <c r="N2722"/>
      <c r="O2722"/>
      <c r="P2722"/>
      <c r="Q2722"/>
    </row>
    <row r="2723" spans="1:43" x14ac:dyDescent="0.2">
      <c r="M2723"/>
      <c r="N2723"/>
      <c r="O2723"/>
      <c r="P2723"/>
      <c r="Q2723"/>
    </row>
    <row r="2724" spans="1:43" ht="16.5" x14ac:dyDescent="0.25">
      <c r="A2724" s="29" t="str">
        <f>CONCATENATE("Раздел: ",IF([1]Source!G2676&lt;&gt;"Новый раздел", [1]Source!G2676, ""))</f>
        <v>Раздел: Содержание дорожек с мощением  50% пешеходное(200 м2) ( МКЗ)</v>
      </c>
      <c r="B2724" s="29"/>
      <c r="C2724" s="29"/>
      <c r="D2724" s="29"/>
      <c r="E2724" s="29"/>
      <c r="F2724" s="29"/>
      <c r="G2724" s="29"/>
      <c r="H2724" s="29"/>
      <c r="I2724" s="29"/>
      <c r="J2724" s="29"/>
      <c r="K2724" s="29"/>
      <c r="M2724"/>
      <c r="N2724"/>
      <c r="O2724"/>
      <c r="P2724"/>
      <c r="Q2724"/>
    </row>
    <row r="2725" spans="1:43" ht="28.5" x14ac:dyDescent="0.2">
      <c r="A2725" s="31">
        <v>363</v>
      </c>
      <c r="B2725" s="31" t="str">
        <f>[1]Source!F2680</f>
        <v>5.3-1101-13-1/1</v>
      </c>
      <c r="C2725" s="31" t="str">
        <f>[1]Source!G2680</f>
        <v>Подметание вручную дорожек и площадок с твердым покрытием</v>
      </c>
      <c r="D2725" s="32" t="str">
        <f>[1]Source!H2680</f>
        <v>100 м2</v>
      </c>
      <c r="E2725" s="4">
        <f>[1]Source!I2680</f>
        <v>2</v>
      </c>
      <c r="F2725" s="33"/>
      <c r="G2725" s="34"/>
      <c r="H2725" s="4"/>
      <c r="I2725" s="4"/>
      <c r="J2725" s="33"/>
      <c r="K2725" s="33"/>
      <c r="M2725"/>
      <c r="N2725"/>
      <c r="O2725"/>
      <c r="P2725"/>
      <c r="Q2725"/>
      <c r="AB2725">
        <f>ROUND(([1]Source!BZ2680/100)*ROUND(([1]Source!AF2680*[1]Source!AV2680)*[1]Source!I2680, 2), 2)</f>
        <v>58021.24</v>
      </c>
      <c r="AC2725">
        <f>[1]Source!X2680</f>
        <v>58021.24</v>
      </c>
      <c r="AD2725">
        <f>ROUND(([1]Source!CA2680/100)*ROUND(([1]Source!AF2680*[1]Source!AV2680)*[1]Source!I2680, 2), 2)</f>
        <v>8288.75</v>
      </c>
      <c r="AE2725">
        <f>[1]Source!Y2680</f>
        <v>8288.75</v>
      </c>
      <c r="AF2725">
        <f>ROUND((175/100)*ROUND(([1]Source!AE2680*[1]Source!AV2680)*[1]Source!I2680, 2), 2)</f>
        <v>0</v>
      </c>
      <c r="AG2725">
        <f>ROUND((108/100)*ROUND([1]Source!CS2680*[1]Source!I2680, 2), 2)</f>
        <v>0</v>
      </c>
    </row>
    <row r="2726" spans="1:43" x14ac:dyDescent="0.2">
      <c r="C2726" s="40" t="str">
        <f>"Объем: "&amp;[1]Source!I2680&amp;"=200/"&amp;"100"</f>
        <v>Объем: 2=200/100</v>
      </c>
      <c r="M2726"/>
      <c r="N2726"/>
      <c r="O2726"/>
      <c r="P2726"/>
      <c r="Q2726"/>
    </row>
    <row r="2727" spans="1:43" ht="14.25" x14ac:dyDescent="0.2">
      <c r="A2727" s="31"/>
      <c r="B2727" s="31"/>
      <c r="C2727" s="31" t="s">
        <v>34</v>
      </c>
      <c r="D2727" s="32"/>
      <c r="E2727" s="4"/>
      <c r="F2727" s="33">
        <f>[1]Source!AO2680</f>
        <v>34.71</v>
      </c>
      <c r="G2727" s="34" t="str">
        <f>[1]Source!DG2680</f>
        <v>)*3*398</v>
      </c>
      <c r="H2727" s="4">
        <f>[1]Source!AV2680</f>
        <v>1</v>
      </c>
      <c r="I2727" s="4">
        <f>IF([1]Source!BA2680&lt;&gt; 0, [1]Source!BA2680, 1)</f>
        <v>1</v>
      </c>
      <c r="J2727" s="33">
        <f>[1]Source!S2680</f>
        <v>82887.48</v>
      </c>
      <c r="K2727" s="33"/>
      <c r="M2727"/>
      <c r="N2727"/>
      <c r="O2727"/>
      <c r="P2727"/>
      <c r="Q2727"/>
    </row>
    <row r="2728" spans="1:43" ht="14.25" x14ac:dyDescent="0.2">
      <c r="A2728" s="31"/>
      <c r="B2728" s="31"/>
      <c r="C2728" s="31" t="s">
        <v>40</v>
      </c>
      <c r="D2728" s="32" t="s">
        <v>39</v>
      </c>
      <c r="E2728" s="4">
        <f>[1]Source!AT2680</f>
        <v>70</v>
      </c>
      <c r="F2728" s="33"/>
      <c r="G2728" s="34"/>
      <c r="H2728" s="4"/>
      <c r="I2728" s="4"/>
      <c r="J2728" s="33">
        <f>SUM(AC2725:AC2727)</f>
        <v>58021.24</v>
      </c>
      <c r="K2728" s="33"/>
      <c r="M2728"/>
      <c r="N2728"/>
      <c r="O2728"/>
      <c r="P2728"/>
      <c r="Q2728"/>
    </row>
    <row r="2729" spans="1:43" ht="14.25" x14ac:dyDescent="0.2">
      <c r="A2729" s="31"/>
      <c r="B2729" s="31"/>
      <c r="C2729" s="31" t="s">
        <v>41</v>
      </c>
      <c r="D2729" s="32" t="s">
        <v>39</v>
      </c>
      <c r="E2729" s="4">
        <f>[1]Source!AU2680</f>
        <v>10</v>
      </c>
      <c r="F2729" s="33"/>
      <c r="G2729" s="34"/>
      <c r="H2729" s="4"/>
      <c r="I2729" s="4"/>
      <c r="J2729" s="33">
        <f>SUM(AE2725:AE2728)</f>
        <v>8288.75</v>
      </c>
      <c r="K2729" s="33"/>
      <c r="M2729"/>
      <c r="N2729"/>
      <c r="O2729"/>
      <c r="P2729"/>
      <c r="Q2729"/>
    </row>
    <row r="2730" spans="1:43" ht="14.25" x14ac:dyDescent="0.2">
      <c r="A2730" s="31"/>
      <c r="B2730" s="31"/>
      <c r="C2730" s="31" t="s">
        <v>42</v>
      </c>
      <c r="D2730" s="32" t="s">
        <v>43</v>
      </c>
      <c r="E2730" s="4">
        <f>[1]Source!AQ2680</f>
        <v>0.14000000000000001</v>
      </c>
      <c r="F2730" s="33"/>
      <c r="G2730" s="34" t="str">
        <f>[1]Source!DI2680</f>
        <v>)*3*398</v>
      </c>
      <c r="H2730" s="4">
        <f>[1]Source!AV2680</f>
        <v>1</v>
      </c>
      <c r="I2730" s="4"/>
      <c r="J2730" s="33"/>
      <c r="K2730" s="33">
        <f>[1]Source!U2680</f>
        <v>334.32000000000005</v>
      </c>
      <c r="M2730"/>
      <c r="N2730"/>
      <c r="O2730"/>
      <c r="P2730"/>
      <c r="Q2730"/>
    </row>
    <row r="2731" spans="1:43" ht="15" x14ac:dyDescent="0.25">
      <c r="A2731" s="35"/>
      <c r="B2731" s="35"/>
      <c r="C2731" s="35"/>
      <c r="D2731" s="35"/>
      <c r="E2731" s="35"/>
      <c r="F2731" s="35"/>
      <c r="G2731" s="35"/>
      <c r="H2731" s="35"/>
      <c r="I2731" s="36">
        <f>J2727+J2728+J2729</f>
        <v>149197.47</v>
      </c>
      <c r="J2731" s="36"/>
      <c r="K2731" s="37">
        <f>IF([1]Source!I2680&lt;&gt;0, ROUND(I2731/[1]Source!I2680, 2), 0)</f>
        <v>74598.740000000005</v>
      </c>
      <c r="M2731"/>
      <c r="N2731"/>
      <c r="O2731"/>
      <c r="P2731"/>
      <c r="Q2731"/>
      <c r="AA2731" s="38">
        <f>I2731</f>
        <v>149197.47</v>
      </c>
    </row>
    <row r="2732" spans="1:43" ht="28.5" x14ac:dyDescent="0.2">
      <c r="A2732" s="31">
        <v>364</v>
      </c>
      <c r="B2732" s="31" t="str">
        <f>[1]Source!F2681</f>
        <v>5.3-1101-13-3/1</v>
      </c>
      <c r="C2732" s="31" t="str">
        <f>[1]Source!G2681</f>
        <v>Подметание вручную дорожек и площадок в дни листопада</v>
      </c>
      <c r="D2732" s="32" t="str">
        <f>[1]Source!H2681</f>
        <v>100 м2</v>
      </c>
      <c r="E2732" s="4">
        <f>[1]Source!I2681</f>
        <v>2</v>
      </c>
      <c r="F2732" s="33"/>
      <c r="G2732" s="34"/>
      <c r="H2732" s="4"/>
      <c r="I2732" s="4"/>
      <c r="J2732" s="33"/>
      <c r="K2732" s="33"/>
      <c r="M2732"/>
      <c r="N2732"/>
      <c r="O2732"/>
      <c r="P2732"/>
      <c r="Q2732"/>
      <c r="AB2732">
        <f>ROUND(([1]Source!BZ2681/100)*ROUND(([1]Source!AF2681*[1]Source!AV2681)*[1]Source!I2681, 2), 2)</f>
        <v>7705.32</v>
      </c>
      <c r="AC2732">
        <f>[1]Source!X2681</f>
        <v>7705.32</v>
      </c>
      <c r="AD2732">
        <f>ROUND(([1]Source!CA2681/100)*ROUND(([1]Source!AF2681*[1]Source!AV2681)*[1]Source!I2681, 2), 2)</f>
        <v>1100.76</v>
      </c>
      <c r="AE2732">
        <f>[1]Source!Y2681</f>
        <v>1100.76</v>
      </c>
      <c r="AF2732">
        <f>ROUND((175/100)*ROUND(([1]Source!AE2681*[1]Source!AV2681)*[1]Source!I2681, 2), 2)</f>
        <v>0</v>
      </c>
      <c r="AG2732">
        <f>ROUND((108/100)*ROUND([1]Source!CS2681*[1]Source!I2681, 2), 2)</f>
        <v>0</v>
      </c>
    </row>
    <row r="2733" spans="1:43" x14ac:dyDescent="0.2">
      <c r="C2733" s="40" t="str">
        <f>"Объем: "&amp;[1]Source!I2681&amp;"=200/"&amp;"100"</f>
        <v>Объем: 2=200/100</v>
      </c>
      <c r="M2733"/>
      <c r="N2733"/>
      <c r="O2733"/>
      <c r="P2733"/>
      <c r="Q2733"/>
    </row>
    <row r="2734" spans="1:43" ht="14.25" x14ac:dyDescent="0.2">
      <c r="A2734" s="31"/>
      <c r="B2734" s="31"/>
      <c r="C2734" s="31" t="s">
        <v>34</v>
      </c>
      <c r="D2734" s="32"/>
      <c r="E2734" s="4"/>
      <c r="F2734" s="33">
        <f>[1]Source!AO2681</f>
        <v>91.73</v>
      </c>
      <c r="G2734" s="34" t="str">
        <f>[1]Source!DG2681</f>
        <v>)*1*60</v>
      </c>
      <c r="H2734" s="4">
        <f>[1]Source!AV2681</f>
        <v>1</v>
      </c>
      <c r="I2734" s="4">
        <f>IF([1]Source!BA2681&lt;&gt; 0, [1]Source!BA2681, 1)</f>
        <v>1</v>
      </c>
      <c r="J2734" s="33">
        <f>[1]Source!S2681</f>
        <v>11007.6</v>
      </c>
      <c r="K2734" s="33"/>
      <c r="M2734"/>
      <c r="N2734"/>
      <c r="O2734"/>
      <c r="P2734"/>
      <c r="Q2734"/>
    </row>
    <row r="2735" spans="1:43" ht="14.25" x14ac:dyDescent="0.2">
      <c r="A2735" s="31"/>
      <c r="B2735" s="31"/>
      <c r="C2735" s="31" t="s">
        <v>40</v>
      </c>
      <c r="D2735" s="32" t="s">
        <v>39</v>
      </c>
      <c r="E2735" s="4">
        <f>[1]Source!AT2681</f>
        <v>70</v>
      </c>
      <c r="F2735" s="33"/>
      <c r="G2735" s="34"/>
      <c r="H2735" s="4"/>
      <c r="I2735" s="4"/>
      <c r="J2735" s="33">
        <f>SUM(AC2732:AC2734)</f>
        <v>7705.32</v>
      </c>
      <c r="K2735" s="33"/>
      <c r="M2735"/>
      <c r="N2735"/>
      <c r="O2735"/>
      <c r="P2735"/>
      <c r="Q2735"/>
    </row>
    <row r="2736" spans="1:43" ht="14.25" x14ac:dyDescent="0.2">
      <c r="A2736" s="31"/>
      <c r="B2736" s="31"/>
      <c r="C2736" s="31" t="s">
        <v>41</v>
      </c>
      <c r="D2736" s="32" t="s">
        <v>39</v>
      </c>
      <c r="E2736" s="4">
        <f>[1]Source!AU2681</f>
        <v>10</v>
      </c>
      <c r="F2736" s="33"/>
      <c r="G2736" s="34"/>
      <c r="H2736" s="4"/>
      <c r="I2736" s="4"/>
      <c r="J2736" s="33">
        <f>SUM(AE2732:AE2735)</f>
        <v>1100.76</v>
      </c>
      <c r="K2736" s="33"/>
      <c r="M2736"/>
      <c r="N2736"/>
      <c r="O2736"/>
      <c r="P2736"/>
      <c r="Q2736"/>
    </row>
    <row r="2737" spans="1:43" ht="14.25" x14ac:dyDescent="0.2">
      <c r="A2737" s="31"/>
      <c r="B2737" s="31"/>
      <c r="C2737" s="31" t="s">
        <v>42</v>
      </c>
      <c r="D2737" s="32" t="s">
        <v>43</v>
      </c>
      <c r="E2737" s="4">
        <f>[1]Source!AQ2681</f>
        <v>0.37</v>
      </c>
      <c r="F2737" s="33"/>
      <c r="G2737" s="34" t="str">
        <f>[1]Source!DI2681</f>
        <v>)*1*60</v>
      </c>
      <c r="H2737" s="4">
        <f>[1]Source!AV2681</f>
        <v>1</v>
      </c>
      <c r="I2737" s="4"/>
      <c r="J2737" s="33"/>
      <c r="K2737" s="33">
        <f>[1]Source!U2681</f>
        <v>44.4</v>
      </c>
      <c r="M2737"/>
      <c r="N2737"/>
      <c r="O2737"/>
      <c r="P2737"/>
      <c r="Q2737"/>
    </row>
    <row r="2738" spans="1:43" ht="15" x14ac:dyDescent="0.25">
      <c r="A2738" s="35"/>
      <c r="B2738" s="35"/>
      <c r="C2738" s="35"/>
      <c r="D2738" s="35"/>
      <c r="E2738" s="35"/>
      <c r="F2738" s="35"/>
      <c r="G2738" s="35"/>
      <c r="H2738" s="35"/>
      <c r="I2738" s="36">
        <f>J2734+J2735+J2736</f>
        <v>19813.679999999997</v>
      </c>
      <c r="J2738" s="36"/>
      <c r="K2738" s="37">
        <f>IF([1]Source!I2681&lt;&gt;0, ROUND(I2738/[1]Source!I2681, 2), 0)</f>
        <v>9906.84</v>
      </c>
      <c r="M2738"/>
      <c r="N2738"/>
      <c r="O2738"/>
      <c r="P2738"/>
      <c r="Q2738"/>
      <c r="AA2738" s="38">
        <f>I2738</f>
        <v>19813.679999999997</v>
      </c>
    </row>
    <row r="2739" spans="1:43" ht="14.25" x14ac:dyDescent="0.2">
      <c r="A2739" s="31">
        <v>365</v>
      </c>
      <c r="B2739" s="31" t="str">
        <f>[1]Source!F2682</f>
        <v>5.3-1101-14-1/1</v>
      </c>
      <c r="C2739" s="31" t="str">
        <f>[1]Source!G2682</f>
        <v>Полив дорожек из шланга вручную</v>
      </c>
      <c r="D2739" s="32" t="str">
        <f>[1]Source!H2682</f>
        <v>100 м2</v>
      </c>
      <c r="E2739" s="4">
        <f>[1]Source!I2682</f>
        <v>2</v>
      </c>
      <c r="F2739" s="33"/>
      <c r="G2739" s="34"/>
      <c r="H2739" s="4"/>
      <c r="I2739" s="4"/>
      <c r="J2739" s="33"/>
      <c r="K2739" s="33"/>
      <c r="M2739"/>
      <c r="N2739"/>
      <c r="O2739"/>
      <c r="P2739"/>
      <c r="Q2739"/>
      <c r="AB2739">
        <f>ROUND(([1]Source!BZ2682/100)*ROUND(([1]Source!AF2682*[1]Source!AV2682)*[1]Source!I2682, 2), 2)</f>
        <v>8121.96</v>
      </c>
      <c r="AC2739">
        <f>[1]Source!X2682</f>
        <v>8121.96</v>
      </c>
      <c r="AD2739">
        <f>ROUND(([1]Source!CA2682/100)*ROUND(([1]Source!AF2682*[1]Source!AV2682)*[1]Source!I2682, 2), 2)</f>
        <v>1160.28</v>
      </c>
      <c r="AE2739">
        <f>[1]Source!Y2682</f>
        <v>1160.28</v>
      </c>
      <c r="AF2739">
        <f>ROUND((175/100)*ROUND(([1]Source!AE2682*[1]Source!AV2682)*[1]Source!I2682, 2), 2)</f>
        <v>0</v>
      </c>
      <c r="AG2739">
        <f>ROUND((108/100)*ROUND([1]Source!CS2682*[1]Source!I2682, 2), 2)</f>
        <v>0</v>
      </c>
    </row>
    <row r="2740" spans="1:43" x14ac:dyDescent="0.2">
      <c r="C2740" s="40" t="str">
        <f>"Объем: "&amp;[1]Source!I2682&amp;"=200/"&amp;"100"</f>
        <v>Объем: 2=200/100</v>
      </c>
      <c r="M2740"/>
      <c r="N2740"/>
      <c r="O2740"/>
      <c r="P2740"/>
      <c r="Q2740"/>
    </row>
    <row r="2741" spans="1:43" ht="14.25" x14ac:dyDescent="0.2">
      <c r="A2741" s="31"/>
      <c r="B2741" s="31"/>
      <c r="C2741" s="31" t="s">
        <v>34</v>
      </c>
      <c r="D2741" s="32"/>
      <c r="E2741" s="4"/>
      <c r="F2741" s="33">
        <f>[1]Source!AO2682</f>
        <v>32.229999999999997</v>
      </c>
      <c r="G2741" s="34" t="str">
        <f>[1]Source!DG2682</f>
        <v>)*2*90</v>
      </c>
      <c r="H2741" s="4">
        <f>[1]Source!AV2682</f>
        <v>1</v>
      </c>
      <c r="I2741" s="4">
        <f>IF([1]Source!BA2682&lt;&gt; 0, [1]Source!BA2682, 1)</f>
        <v>1</v>
      </c>
      <c r="J2741" s="33">
        <f>[1]Source!S2682</f>
        <v>11602.8</v>
      </c>
      <c r="K2741" s="33"/>
      <c r="M2741"/>
      <c r="N2741"/>
      <c r="O2741"/>
      <c r="P2741"/>
      <c r="Q2741"/>
    </row>
    <row r="2742" spans="1:43" ht="14.25" x14ac:dyDescent="0.2">
      <c r="A2742" s="31"/>
      <c r="B2742" s="31"/>
      <c r="C2742" s="31" t="s">
        <v>47</v>
      </c>
      <c r="D2742" s="32"/>
      <c r="E2742" s="4"/>
      <c r="F2742" s="33">
        <f>[1]Source!AL2682</f>
        <v>4.24</v>
      </c>
      <c r="G2742" s="34" t="str">
        <f>[1]Source!DD2682</f>
        <v>)*2*90</v>
      </c>
      <c r="H2742" s="4">
        <f>[1]Source!AW2682</f>
        <v>1</v>
      </c>
      <c r="I2742" s="4">
        <f>IF([1]Source!BC2682&lt;&gt; 0, [1]Source!BC2682, 1)</f>
        <v>1</v>
      </c>
      <c r="J2742" s="33">
        <f>[1]Source!P2682</f>
        <v>1526.4</v>
      </c>
      <c r="K2742" s="33"/>
      <c r="M2742"/>
      <c r="N2742"/>
      <c r="O2742"/>
      <c r="P2742"/>
      <c r="Q2742"/>
    </row>
    <row r="2743" spans="1:43" ht="14.25" x14ac:dyDescent="0.2">
      <c r="A2743" s="31" t="s">
        <v>115</v>
      </c>
      <c r="B2743" s="31" t="str">
        <f>[1]Source!F2683</f>
        <v>21.1-25-13</v>
      </c>
      <c r="C2743" s="31" t="str">
        <f>[1]Source!G2683</f>
        <v>Вода</v>
      </c>
      <c r="D2743" s="32" t="str">
        <f>[1]Source!H2683</f>
        <v>м3</v>
      </c>
      <c r="E2743" s="4">
        <f>[1]Source!I2683</f>
        <v>-36</v>
      </c>
      <c r="F2743" s="33">
        <f>[1]Source!AK2683</f>
        <v>42.44</v>
      </c>
      <c r="G2743" s="39" t="s">
        <v>104</v>
      </c>
      <c r="H2743" s="4">
        <f>[1]Source!AW2683</f>
        <v>1</v>
      </c>
      <c r="I2743" s="4">
        <f>IF([1]Source!BC2683&lt;&gt; 0, [1]Source!BC2683, 1)</f>
        <v>1</v>
      </c>
      <c r="J2743" s="33">
        <f>[1]Source!O2683</f>
        <v>-1527.84</v>
      </c>
      <c r="K2743" s="33"/>
      <c r="M2743"/>
      <c r="N2743"/>
      <c r="O2743"/>
      <c r="P2743"/>
      <c r="Q2743"/>
      <c r="AB2743">
        <f>ROUND(([1]Source!BZ2683/100)*ROUND(([1]Source!AF2683*[1]Source!AV2683)*[1]Source!I2683, 2), 2)</f>
        <v>0</v>
      </c>
      <c r="AC2743">
        <f>[1]Source!X2683</f>
        <v>0</v>
      </c>
      <c r="AD2743">
        <f>ROUND(([1]Source!CA2683/100)*ROUND(([1]Source!AF2683*[1]Source!AV2683)*[1]Source!I2683, 2), 2)</f>
        <v>0</v>
      </c>
      <c r="AE2743">
        <f>[1]Source!Y2683</f>
        <v>0</v>
      </c>
      <c r="AF2743">
        <f>ROUND((175/100)*ROUND(([1]Source!AE2683*[1]Source!AV2683)*[1]Source!I2683, 2), 2)</f>
        <v>0</v>
      </c>
      <c r="AG2743">
        <f>ROUND((108/100)*ROUND([1]Source!CS2683*[1]Source!I2683, 2), 2)</f>
        <v>0</v>
      </c>
    </row>
    <row r="2744" spans="1:43" ht="14.25" x14ac:dyDescent="0.2">
      <c r="A2744" s="31"/>
      <c r="B2744" s="31"/>
      <c r="C2744" s="31" t="s">
        <v>40</v>
      </c>
      <c r="D2744" s="32" t="s">
        <v>39</v>
      </c>
      <c r="E2744" s="4">
        <f>[1]Source!AT2682</f>
        <v>70</v>
      </c>
      <c r="F2744" s="33"/>
      <c r="G2744" s="34"/>
      <c r="H2744" s="4"/>
      <c r="I2744" s="4"/>
      <c r="J2744" s="33">
        <f>SUM(AC2739:AC2743)</f>
        <v>8121.96</v>
      </c>
      <c r="K2744" s="33"/>
      <c r="M2744"/>
      <c r="N2744"/>
      <c r="O2744"/>
      <c r="P2744"/>
      <c r="Q2744"/>
    </row>
    <row r="2745" spans="1:43" ht="14.25" x14ac:dyDescent="0.2">
      <c r="A2745" s="31"/>
      <c r="B2745" s="31"/>
      <c r="C2745" s="31" t="s">
        <v>41</v>
      </c>
      <c r="D2745" s="32" t="s">
        <v>39</v>
      </c>
      <c r="E2745" s="4">
        <f>[1]Source!AU2682</f>
        <v>10</v>
      </c>
      <c r="F2745" s="33"/>
      <c r="G2745" s="34"/>
      <c r="H2745" s="4"/>
      <c r="I2745" s="4"/>
      <c r="J2745" s="33">
        <f>SUM(AE2739:AE2744)</f>
        <v>1160.28</v>
      </c>
      <c r="K2745" s="33"/>
      <c r="M2745"/>
      <c r="N2745"/>
      <c r="O2745"/>
      <c r="P2745"/>
      <c r="Q2745"/>
    </row>
    <row r="2746" spans="1:43" ht="14.25" x14ac:dyDescent="0.2">
      <c r="A2746" s="31"/>
      <c r="B2746" s="31"/>
      <c r="C2746" s="31" t="s">
        <v>42</v>
      </c>
      <c r="D2746" s="32" t="s">
        <v>43</v>
      </c>
      <c r="E2746" s="4">
        <f>[1]Source!AQ2682</f>
        <v>0.13</v>
      </c>
      <c r="F2746" s="33"/>
      <c r="G2746" s="34" t="str">
        <f>[1]Source!DI2682</f>
        <v>)*2*90</v>
      </c>
      <c r="H2746" s="4">
        <f>[1]Source!AV2682</f>
        <v>1</v>
      </c>
      <c r="I2746" s="4"/>
      <c r="J2746" s="33"/>
      <c r="K2746" s="33">
        <f>[1]Source!U2682</f>
        <v>46.800000000000004</v>
      </c>
      <c r="M2746"/>
      <c r="N2746"/>
      <c r="O2746"/>
      <c r="P2746"/>
      <c r="Q2746"/>
    </row>
    <row r="2747" spans="1:43" ht="15" x14ac:dyDescent="0.25">
      <c r="A2747" s="35"/>
      <c r="B2747" s="35"/>
      <c r="C2747" s="35"/>
      <c r="D2747" s="35"/>
      <c r="E2747" s="35"/>
      <c r="F2747" s="35"/>
      <c r="G2747" s="35"/>
      <c r="H2747" s="35"/>
      <c r="I2747" s="36">
        <f>J2741+J2742+J2744+J2745+SUM(J2743:J2743)</f>
        <v>20883.599999999999</v>
      </c>
      <c r="J2747" s="36"/>
      <c r="K2747" s="37">
        <f>IF([1]Source!I2682&lt;&gt;0, ROUND(I2747/[1]Source!I2682, 2), 0)</f>
        <v>10441.799999999999</v>
      </c>
      <c r="M2747"/>
      <c r="N2747"/>
      <c r="O2747"/>
      <c r="P2747"/>
      <c r="Q2747"/>
      <c r="AA2747" s="38">
        <f>I2747</f>
        <v>20883.599999999999</v>
      </c>
    </row>
    <row r="2748" spans="1:43" x14ac:dyDescent="0.2">
      <c r="M2748"/>
      <c r="N2748"/>
      <c r="O2748"/>
      <c r="P2748"/>
      <c r="Q2748"/>
    </row>
    <row r="2749" spans="1:43" ht="15" x14ac:dyDescent="0.25">
      <c r="A2749" s="42" t="str">
        <f>CONCATENATE("Итого по разделу: ",IF([1]Source!G2685&lt;&gt;"Новый раздел", [1]Source!G2685, ""))</f>
        <v>Итого по разделу: Содержание дорожек с мощением  50% пешеходное(200 м2) ( МКЗ)</v>
      </c>
      <c r="B2749" s="42"/>
      <c r="C2749" s="42"/>
      <c r="D2749" s="42"/>
      <c r="E2749" s="42"/>
      <c r="F2749" s="42"/>
      <c r="G2749" s="42"/>
      <c r="H2749" s="42"/>
      <c r="I2749" s="43">
        <f>SUM(AA2724:AA2748)</f>
        <v>189894.75</v>
      </c>
      <c r="J2749" s="44"/>
      <c r="K2749" s="47"/>
      <c r="L2749" s="38">
        <f>I2749</f>
        <v>189894.75</v>
      </c>
      <c r="M2749" s="2">
        <f>ROUND(I2749*$I$4874,2)</f>
        <v>137143.29</v>
      </c>
      <c r="N2749" s="2">
        <f>ROUND(M2749*1.2/105*100,2)</f>
        <v>156735.19</v>
      </c>
      <c r="O2749" s="2">
        <f>ROUND(N2749*0.05,2)</f>
        <v>7836.76</v>
      </c>
      <c r="P2749" s="2">
        <f>N2749+O2749</f>
        <v>164571.95000000001</v>
      </c>
      <c r="Q2749" s="3">
        <v>76</v>
      </c>
      <c r="R2749">
        <v>2</v>
      </c>
      <c r="S2749" s="2">
        <v>0</v>
      </c>
      <c r="AQ2749" s="46" t="str">
        <f>CONCATENATE("Итого по разделу: ",IF([1]Source!G2685&lt;&gt;"Новый раздел", [1]Source!G2685, ""))</f>
        <v>Итого по разделу: Содержание дорожек с мощением  50% пешеходное(200 м2) ( МКЗ)</v>
      </c>
    </row>
    <row r="2750" spans="1:43" x14ac:dyDescent="0.2">
      <c r="M2750"/>
      <c r="N2750"/>
      <c r="O2750"/>
      <c r="P2750"/>
      <c r="Q2750"/>
    </row>
    <row r="2751" spans="1:43" x14ac:dyDescent="0.2">
      <c r="M2751"/>
      <c r="N2751"/>
      <c r="O2751"/>
      <c r="P2751"/>
      <c r="Q2751"/>
    </row>
    <row r="2752" spans="1:43" ht="33" x14ac:dyDescent="0.25">
      <c r="A2752" s="29" t="str">
        <f>CONCATENATE("Раздел: ",IF([1]Source!G2715&lt;&gt;"Новый раздел", [1]Source!G2715, ""))</f>
        <v>Раздел: Содержание садово-парковых дорожных покрытий с мощением парковым, пешеходным с разным уровнем уклона поверхности (S =1040 м2 )</v>
      </c>
      <c r="B2752" s="29"/>
      <c r="C2752" s="29"/>
      <c r="D2752" s="29"/>
      <c r="E2752" s="29"/>
      <c r="F2752" s="29"/>
      <c r="G2752" s="29"/>
      <c r="H2752" s="29"/>
      <c r="I2752" s="29"/>
      <c r="J2752" s="29"/>
      <c r="K2752" s="29"/>
      <c r="M2752"/>
      <c r="N2752"/>
      <c r="O2752"/>
      <c r="P2752"/>
      <c r="Q2752"/>
      <c r="AP2752" s="30" t="str">
        <f>CONCATENATE("Раздел: ",IF([1]Source!G2715&lt;&gt;"Новый раздел", [1]Source!G2715, ""))</f>
        <v>Раздел: Содержание садово-парковых дорожных покрытий с мощением парковым, пешеходным с разным уровнем уклона поверхности (S =1040 м2 )</v>
      </c>
    </row>
    <row r="2753" spans="1:33" ht="28.5" x14ac:dyDescent="0.2">
      <c r="A2753" s="31">
        <v>366</v>
      </c>
      <c r="B2753" s="31" t="str">
        <f>[1]Source!F2719</f>
        <v>5.3-1101-13-1/1</v>
      </c>
      <c r="C2753" s="31" t="str">
        <f>[1]Source!G2719</f>
        <v>Подметание вручную дорожек и площадок с твердым покрытием</v>
      </c>
      <c r="D2753" s="32" t="str">
        <f>[1]Source!H2719</f>
        <v>100 м2</v>
      </c>
      <c r="E2753" s="4">
        <f>[1]Source!I2719</f>
        <v>10.4</v>
      </c>
      <c r="F2753" s="33"/>
      <c r="G2753" s="34"/>
      <c r="H2753" s="4"/>
      <c r="I2753" s="4"/>
      <c r="J2753" s="33"/>
      <c r="K2753" s="33"/>
      <c r="M2753"/>
      <c r="N2753"/>
      <c r="O2753"/>
      <c r="P2753"/>
      <c r="Q2753"/>
      <c r="AB2753">
        <f>ROUND(([1]Source!BZ2719/100)*ROUND(([1]Source!AF2719*[1]Source!AV2719)*[1]Source!I2719, 2), 2)</f>
        <v>301710.43</v>
      </c>
      <c r="AC2753">
        <f>[1]Source!X2719</f>
        <v>301710.43</v>
      </c>
      <c r="AD2753">
        <f>ROUND(([1]Source!CA2719/100)*ROUND(([1]Source!AF2719*[1]Source!AV2719)*[1]Source!I2719, 2), 2)</f>
        <v>43101.49</v>
      </c>
      <c r="AE2753">
        <f>[1]Source!Y2719</f>
        <v>43101.49</v>
      </c>
      <c r="AF2753">
        <f>ROUND((175/100)*ROUND(([1]Source!AE2719*[1]Source!AV2719)*[1]Source!I2719, 2), 2)</f>
        <v>0</v>
      </c>
      <c r="AG2753">
        <f>ROUND((108/100)*ROUND([1]Source!CS2719*[1]Source!I2719, 2), 2)</f>
        <v>0</v>
      </c>
    </row>
    <row r="2754" spans="1:33" x14ac:dyDescent="0.2">
      <c r="C2754" s="40" t="str">
        <f>"Объем: "&amp;[1]Source!I2719&amp;"=1040/"&amp;"100"</f>
        <v>Объем: 10,4=1040/100</v>
      </c>
      <c r="M2754"/>
      <c r="N2754"/>
      <c r="O2754"/>
      <c r="P2754"/>
      <c r="Q2754"/>
    </row>
    <row r="2755" spans="1:33" ht="14.25" x14ac:dyDescent="0.2">
      <c r="A2755" s="31"/>
      <c r="B2755" s="31"/>
      <c r="C2755" s="31" t="s">
        <v>34</v>
      </c>
      <c r="D2755" s="32"/>
      <c r="E2755" s="4"/>
      <c r="F2755" s="33">
        <f>[1]Source!AO2719</f>
        <v>34.71</v>
      </c>
      <c r="G2755" s="34" t="str">
        <f>[1]Source!DG2719</f>
        <v>)*3*398</v>
      </c>
      <c r="H2755" s="4">
        <f>[1]Source!AV2719</f>
        <v>1</v>
      </c>
      <c r="I2755" s="4">
        <f>IF([1]Source!BA2719&lt;&gt; 0, [1]Source!BA2719, 1)</f>
        <v>1</v>
      </c>
      <c r="J2755" s="33">
        <f>[1]Source!S2719</f>
        <v>431014.9</v>
      </c>
      <c r="K2755" s="33"/>
      <c r="M2755"/>
      <c r="N2755"/>
      <c r="O2755"/>
      <c r="P2755"/>
      <c r="Q2755"/>
    </row>
    <row r="2756" spans="1:33" ht="14.25" x14ac:dyDescent="0.2">
      <c r="A2756" s="31"/>
      <c r="B2756" s="31"/>
      <c r="C2756" s="31" t="s">
        <v>40</v>
      </c>
      <c r="D2756" s="32" t="s">
        <v>39</v>
      </c>
      <c r="E2756" s="4">
        <f>[1]Source!AT2719</f>
        <v>70</v>
      </c>
      <c r="F2756" s="33"/>
      <c r="G2756" s="34"/>
      <c r="H2756" s="4"/>
      <c r="I2756" s="4"/>
      <c r="J2756" s="33">
        <f>SUM(AC2753:AC2755)</f>
        <v>301710.43</v>
      </c>
      <c r="K2756" s="33"/>
      <c r="M2756"/>
      <c r="N2756"/>
      <c r="O2756"/>
      <c r="P2756"/>
      <c r="Q2756"/>
    </row>
    <row r="2757" spans="1:33" ht="14.25" x14ac:dyDescent="0.2">
      <c r="A2757" s="31"/>
      <c r="B2757" s="31"/>
      <c r="C2757" s="31" t="s">
        <v>41</v>
      </c>
      <c r="D2757" s="32" t="s">
        <v>39</v>
      </c>
      <c r="E2757" s="4">
        <f>[1]Source!AU2719</f>
        <v>10</v>
      </c>
      <c r="F2757" s="33"/>
      <c r="G2757" s="34"/>
      <c r="H2757" s="4"/>
      <c r="I2757" s="4"/>
      <c r="J2757" s="33">
        <f>SUM(AE2753:AE2756)</f>
        <v>43101.49</v>
      </c>
      <c r="K2757" s="33"/>
      <c r="M2757"/>
      <c r="N2757"/>
      <c r="O2757"/>
      <c r="P2757"/>
      <c r="Q2757"/>
    </row>
    <row r="2758" spans="1:33" ht="14.25" x14ac:dyDescent="0.2">
      <c r="A2758" s="31"/>
      <c r="B2758" s="31"/>
      <c r="C2758" s="31" t="s">
        <v>42</v>
      </c>
      <c r="D2758" s="32" t="s">
        <v>43</v>
      </c>
      <c r="E2758" s="4">
        <f>[1]Source!AQ2719</f>
        <v>0.14000000000000001</v>
      </c>
      <c r="F2758" s="33"/>
      <c r="G2758" s="34" t="str">
        <f>[1]Source!DI2719</f>
        <v>)*3*398</v>
      </c>
      <c r="H2758" s="4">
        <f>[1]Source!AV2719</f>
        <v>1</v>
      </c>
      <c r="I2758" s="4"/>
      <c r="J2758" s="33"/>
      <c r="K2758" s="33">
        <f>[1]Source!U2719</f>
        <v>1738.4640000000004</v>
      </c>
      <c r="M2758"/>
      <c r="N2758"/>
      <c r="O2758"/>
      <c r="P2758"/>
      <c r="Q2758"/>
    </row>
    <row r="2759" spans="1:33" ht="15" x14ac:dyDescent="0.25">
      <c r="A2759" s="35"/>
      <c r="B2759" s="35"/>
      <c r="C2759" s="35"/>
      <c r="D2759" s="35"/>
      <c r="E2759" s="35"/>
      <c r="F2759" s="35"/>
      <c r="G2759" s="35"/>
      <c r="H2759" s="35"/>
      <c r="I2759" s="36">
        <f>J2755+J2756+J2757</f>
        <v>775826.82000000007</v>
      </c>
      <c r="J2759" s="36"/>
      <c r="K2759" s="37">
        <f>IF([1]Source!I2719&lt;&gt;0, ROUND(I2759/[1]Source!I2719, 2), 0)</f>
        <v>74598.73</v>
      </c>
      <c r="M2759"/>
      <c r="N2759"/>
      <c r="O2759"/>
      <c r="P2759"/>
      <c r="Q2759"/>
      <c r="AA2759" s="38">
        <f>I2759</f>
        <v>775826.82000000007</v>
      </c>
    </row>
    <row r="2760" spans="1:33" ht="28.5" x14ac:dyDescent="0.2">
      <c r="A2760" s="31">
        <v>367</v>
      </c>
      <c r="B2760" s="31" t="str">
        <f>[1]Source!F2720</f>
        <v>5.3-1101-13-3/1</v>
      </c>
      <c r="C2760" s="31" t="str">
        <f>[1]Source!G2720</f>
        <v>Подметание вручную дорожек и площадок в дни листопада</v>
      </c>
      <c r="D2760" s="32" t="str">
        <f>[1]Source!H2720</f>
        <v>100 м2</v>
      </c>
      <c r="E2760" s="4">
        <f>[1]Source!I2720</f>
        <v>10.4</v>
      </c>
      <c r="F2760" s="33"/>
      <c r="G2760" s="34"/>
      <c r="H2760" s="4"/>
      <c r="I2760" s="4"/>
      <c r="J2760" s="33"/>
      <c r="K2760" s="33"/>
      <c r="M2760"/>
      <c r="N2760"/>
      <c r="O2760"/>
      <c r="P2760"/>
      <c r="Q2760"/>
      <c r="AB2760">
        <f>ROUND(([1]Source!BZ2720/100)*ROUND(([1]Source!AF2720*[1]Source!AV2720)*[1]Source!I2720, 2), 2)</f>
        <v>40067.660000000003</v>
      </c>
      <c r="AC2760">
        <f>[1]Source!X2720</f>
        <v>40067.660000000003</v>
      </c>
      <c r="AD2760">
        <f>ROUND(([1]Source!CA2720/100)*ROUND(([1]Source!AF2720*[1]Source!AV2720)*[1]Source!I2720, 2), 2)</f>
        <v>5723.95</v>
      </c>
      <c r="AE2760">
        <f>[1]Source!Y2720</f>
        <v>5723.95</v>
      </c>
      <c r="AF2760">
        <f>ROUND((175/100)*ROUND(([1]Source!AE2720*[1]Source!AV2720)*[1]Source!I2720, 2), 2)</f>
        <v>0</v>
      </c>
      <c r="AG2760">
        <f>ROUND((108/100)*ROUND([1]Source!CS2720*[1]Source!I2720, 2), 2)</f>
        <v>0</v>
      </c>
    </row>
    <row r="2761" spans="1:33" x14ac:dyDescent="0.2">
      <c r="C2761" s="40" t="str">
        <f>"Объем: "&amp;[1]Source!I2720&amp;"=1040/"&amp;"100"</f>
        <v>Объем: 10,4=1040/100</v>
      </c>
      <c r="M2761"/>
      <c r="N2761"/>
      <c r="O2761"/>
      <c r="P2761"/>
      <c r="Q2761"/>
    </row>
    <row r="2762" spans="1:33" ht="14.25" x14ac:dyDescent="0.2">
      <c r="A2762" s="31"/>
      <c r="B2762" s="31"/>
      <c r="C2762" s="31" t="s">
        <v>34</v>
      </c>
      <c r="D2762" s="32"/>
      <c r="E2762" s="4"/>
      <c r="F2762" s="33">
        <f>[1]Source!AO2720</f>
        <v>91.73</v>
      </c>
      <c r="G2762" s="34" t="str">
        <f>[1]Source!DG2720</f>
        <v>)*1*60</v>
      </c>
      <c r="H2762" s="4">
        <f>[1]Source!AV2720</f>
        <v>1</v>
      </c>
      <c r="I2762" s="4">
        <f>IF([1]Source!BA2720&lt;&gt; 0, [1]Source!BA2720, 1)</f>
        <v>1</v>
      </c>
      <c r="J2762" s="33">
        <f>[1]Source!S2720</f>
        <v>57239.519999999997</v>
      </c>
      <c r="K2762" s="33"/>
      <c r="M2762"/>
      <c r="N2762"/>
      <c r="O2762"/>
      <c r="P2762"/>
      <c r="Q2762"/>
    </row>
    <row r="2763" spans="1:33" ht="14.25" x14ac:dyDescent="0.2">
      <c r="A2763" s="31"/>
      <c r="B2763" s="31"/>
      <c r="C2763" s="31" t="s">
        <v>40</v>
      </c>
      <c r="D2763" s="32" t="s">
        <v>39</v>
      </c>
      <c r="E2763" s="4">
        <f>[1]Source!AT2720</f>
        <v>70</v>
      </c>
      <c r="F2763" s="33"/>
      <c r="G2763" s="34"/>
      <c r="H2763" s="4"/>
      <c r="I2763" s="4"/>
      <c r="J2763" s="33">
        <f>SUM(AC2760:AC2762)</f>
        <v>40067.660000000003</v>
      </c>
      <c r="K2763" s="33"/>
      <c r="M2763"/>
      <c r="N2763"/>
      <c r="O2763"/>
      <c r="P2763"/>
      <c r="Q2763"/>
    </row>
    <row r="2764" spans="1:33" ht="14.25" x14ac:dyDescent="0.2">
      <c r="A2764" s="31"/>
      <c r="B2764" s="31"/>
      <c r="C2764" s="31" t="s">
        <v>41</v>
      </c>
      <c r="D2764" s="32" t="s">
        <v>39</v>
      </c>
      <c r="E2764" s="4">
        <f>[1]Source!AU2720</f>
        <v>10</v>
      </c>
      <c r="F2764" s="33"/>
      <c r="G2764" s="34"/>
      <c r="H2764" s="4"/>
      <c r="I2764" s="4"/>
      <c r="J2764" s="33">
        <f>SUM(AE2760:AE2763)</f>
        <v>5723.95</v>
      </c>
      <c r="K2764" s="33"/>
      <c r="M2764"/>
      <c r="N2764"/>
      <c r="O2764"/>
      <c r="P2764"/>
      <c r="Q2764"/>
    </row>
    <row r="2765" spans="1:33" ht="14.25" x14ac:dyDescent="0.2">
      <c r="A2765" s="31"/>
      <c r="B2765" s="31"/>
      <c r="C2765" s="31" t="s">
        <v>42</v>
      </c>
      <c r="D2765" s="32" t="s">
        <v>43</v>
      </c>
      <c r="E2765" s="4">
        <f>[1]Source!AQ2720</f>
        <v>0.37</v>
      </c>
      <c r="F2765" s="33"/>
      <c r="G2765" s="34" t="str">
        <f>[1]Source!DI2720</f>
        <v>)*1*60</v>
      </c>
      <c r="H2765" s="4">
        <f>[1]Source!AV2720</f>
        <v>1</v>
      </c>
      <c r="I2765" s="4"/>
      <c r="J2765" s="33"/>
      <c r="K2765" s="33">
        <f>[1]Source!U2720</f>
        <v>230.88</v>
      </c>
      <c r="M2765"/>
      <c r="N2765"/>
      <c r="O2765"/>
      <c r="P2765"/>
      <c r="Q2765"/>
    </row>
    <row r="2766" spans="1:33" ht="15" x14ac:dyDescent="0.25">
      <c r="A2766" s="35"/>
      <c r="B2766" s="35"/>
      <c r="C2766" s="35"/>
      <c r="D2766" s="35"/>
      <c r="E2766" s="35"/>
      <c r="F2766" s="35"/>
      <c r="G2766" s="35"/>
      <c r="H2766" s="35"/>
      <c r="I2766" s="36">
        <f>J2762+J2763+J2764</f>
        <v>103031.12999999999</v>
      </c>
      <c r="J2766" s="36"/>
      <c r="K2766" s="37">
        <f>IF([1]Source!I2720&lt;&gt;0, ROUND(I2766/[1]Source!I2720, 2), 0)</f>
        <v>9906.84</v>
      </c>
      <c r="M2766"/>
      <c r="N2766"/>
      <c r="O2766"/>
      <c r="P2766"/>
      <c r="Q2766"/>
      <c r="AA2766" s="38">
        <f>I2766</f>
        <v>103031.12999999999</v>
      </c>
    </row>
    <row r="2767" spans="1:33" ht="14.25" x14ac:dyDescent="0.2">
      <c r="A2767" s="31">
        <v>368</v>
      </c>
      <c r="B2767" s="31" t="str">
        <f>[1]Source!F2721</f>
        <v>5.3-1101-14-1/1</v>
      </c>
      <c r="C2767" s="31" t="str">
        <f>[1]Source!G2721</f>
        <v>Полив дорожек из шланга вручную</v>
      </c>
      <c r="D2767" s="32" t="str">
        <f>[1]Source!H2721</f>
        <v>100 м2</v>
      </c>
      <c r="E2767" s="4">
        <f>[1]Source!I2721</f>
        <v>10.4</v>
      </c>
      <c r="F2767" s="33"/>
      <c r="G2767" s="34"/>
      <c r="H2767" s="4"/>
      <c r="I2767" s="4"/>
      <c r="J2767" s="33"/>
      <c r="K2767" s="33"/>
      <c r="M2767"/>
      <c r="N2767"/>
      <c r="O2767"/>
      <c r="P2767"/>
      <c r="Q2767"/>
      <c r="AB2767">
        <f>ROUND(([1]Source!BZ2721/100)*ROUND(([1]Source!AF2721*[1]Source!AV2721)*[1]Source!I2721, 2), 2)</f>
        <v>42234.19</v>
      </c>
      <c r="AC2767">
        <f>[1]Source!X2721</f>
        <v>42234.19</v>
      </c>
      <c r="AD2767">
        <f>ROUND(([1]Source!CA2721/100)*ROUND(([1]Source!AF2721*[1]Source!AV2721)*[1]Source!I2721, 2), 2)</f>
        <v>6033.46</v>
      </c>
      <c r="AE2767">
        <f>[1]Source!Y2721</f>
        <v>6033.46</v>
      </c>
      <c r="AF2767">
        <f>ROUND((175/100)*ROUND(([1]Source!AE2721*[1]Source!AV2721)*[1]Source!I2721, 2), 2)</f>
        <v>0</v>
      </c>
      <c r="AG2767">
        <f>ROUND((108/100)*ROUND([1]Source!CS2721*[1]Source!I2721, 2), 2)</f>
        <v>0</v>
      </c>
    </row>
    <row r="2768" spans="1:33" x14ac:dyDescent="0.2">
      <c r="C2768" s="40" t="str">
        <f>"Объем: "&amp;[1]Source!I2721&amp;"=1040/"&amp;"100"</f>
        <v>Объем: 10,4=1040/100</v>
      </c>
      <c r="M2768"/>
      <c r="N2768"/>
      <c r="O2768"/>
      <c r="P2768"/>
      <c r="Q2768"/>
    </row>
    <row r="2769" spans="1:43" ht="14.25" x14ac:dyDescent="0.2">
      <c r="A2769" s="31"/>
      <c r="B2769" s="31"/>
      <c r="C2769" s="31" t="s">
        <v>34</v>
      </c>
      <c r="D2769" s="32"/>
      <c r="E2769" s="4"/>
      <c r="F2769" s="33">
        <f>[1]Source!AO2721</f>
        <v>32.229999999999997</v>
      </c>
      <c r="G2769" s="34" t="str">
        <f>[1]Source!DG2721</f>
        <v>)*2*90</v>
      </c>
      <c r="H2769" s="4">
        <f>[1]Source!AV2721</f>
        <v>1</v>
      </c>
      <c r="I2769" s="4">
        <f>IF([1]Source!BA2721&lt;&gt; 0, [1]Source!BA2721, 1)</f>
        <v>1</v>
      </c>
      <c r="J2769" s="33">
        <f>[1]Source!S2721</f>
        <v>60334.559999999998</v>
      </c>
      <c r="K2769" s="33"/>
      <c r="M2769"/>
      <c r="N2769"/>
      <c r="O2769"/>
      <c r="P2769"/>
      <c r="Q2769"/>
    </row>
    <row r="2770" spans="1:43" ht="14.25" x14ac:dyDescent="0.2">
      <c r="A2770" s="31"/>
      <c r="B2770" s="31"/>
      <c r="C2770" s="31" t="s">
        <v>47</v>
      </c>
      <c r="D2770" s="32"/>
      <c r="E2770" s="4"/>
      <c r="F2770" s="33">
        <f>[1]Source!AL2721</f>
        <v>4.24</v>
      </c>
      <c r="G2770" s="34" t="str">
        <f>[1]Source!DD2721</f>
        <v>)*2*90</v>
      </c>
      <c r="H2770" s="4">
        <f>[1]Source!AW2721</f>
        <v>1</v>
      </c>
      <c r="I2770" s="4">
        <f>IF([1]Source!BC2721&lt;&gt; 0, [1]Source!BC2721, 1)</f>
        <v>1</v>
      </c>
      <c r="J2770" s="33">
        <f>[1]Source!P2721</f>
        <v>7937.28</v>
      </c>
      <c r="K2770" s="33"/>
      <c r="M2770"/>
      <c r="N2770"/>
      <c r="O2770"/>
      <c r="P2770"/>
      <c r="Q2770"/>
    </row>
    <row r="2771" spans="1:43" ht="14.25" x14ac:dyDescent="0.2">
      <c r="A2771" s="31" t="s">
        <v>116</v>
      </c>
      <c r="B2771" s="31" t="str">
        <f>[1]Source!F2722</f>
        <v>21.1-25-13</v>
      </c>
      <c r="C2771" s="31" t="str">
        <f>[1]Source!G2722</f>
        <v>Вода</v>
      </c>
      <c r="D2771" s="32" t="str">
        <f>[1]Source!H2722</f>
        <v>м3</v>
      </c>
      <c r="E2771" s="4">
        <f>[1]Source!I2722</f>
        <v>-187.20000000000002</v>
      </c>
      <c r="F2771" s="33">
        <f>[1]Source!AK2722</f>
        <v>42.44</v>
      </c>
      <c r="G2771" s="39" t="s">
        <v>104</v>
      </c>
      <c r="H2771" s="4">
        <f>[1]Source!AW2722</f>
        <v>1</v>
      </c>
      <c r="I2771" s="4">
        <f>IF([1]Source!BC2722&lt;&gt; 0, [1]Source!BC2722, 1)</f>
        <v>1</v>
      </c>
      <c r="J2771" s="33">
        <f>[1]Source!O2722</f>
        <v>-7944.77</v>
      </c>
      <c r="K2771" s="33"/>
      <c r="M2771"/>
      <c r="N2771"/>
      <c r="O2771"/>
      <c r="P2771"/>
      <c r="Q2771"/>
      <c r="AB2771">
        <f>ROUND(([1]Source!BZ2722/100)*ROUND(([1]Source!AF2722*[1]Source!AV2722)*[1]Source!I2722, 2), 2)</f>
        <v>0</v>
      </c>
      <c r="AC2771">
        <f>[1]Source!X2722</f>
        <v>0</v>
      </c>
      <c r="AD2771">
        <f>ROUND(([1]Source!CA2722/100)*ROUND(([1]Source!AF2722*[1]Source!AV2722)*[1]Source!I2722, 2), 2)</f>
        <v>0</v>
      </c>
      <c r="AE2771">
        <f>[1]Source!Y2722</f>
        <v>0</v>
      </c>
      <c r="AF2771">
        <f>ROUND((175/100)*ROUND(([1]Source!AE2722*[1]Source!AV2722)*[1]Source!I2722, 2), 2)</f>
        <v>0</v>
      </c>
      <c r="AG2771">
        <f>ROUND((108/100)*ROUND([1]Source!CS2722*[1]Source!I2722, 2), 2)</f>
        <v>0</v>
      </c>
    </row>
    <row r="2772" spans="1:43" ht="14.25" x14ac:dyDescent="0.2">
      <c r="A2772" s="31"/>
      <c r="B2772" s="31"/>
      <c r="C2772" s="31" t="s">
        <v>40</v>
      </c>
      <c r="D2772" s="32" t="s">
        <v>39</v>
      </c>
      <c r="E2772" s="4">
        <f>[1]Source!AT2721</f>
        <v>70</v>
      </c>
      <c r="F2772" s="33"/>
      <c r="G2772" s="34"/>
      <c r="H2772" s="4"/>
      <c r="I2772" s="4"/>
      <c r="J2772" s="33">
        <f>SUM(AC2767:AC2771)</f>
        <v>42234.19</v>
      </c>
      <c r="K2772" s="33"/>
      <c r="M2772"/>
      <c r="N2772"/>
      <c r="O2772"/>
      <c r="P2772"/>
      <c r="Q2772"/>
    </row>
    <row r="2773" spans="1:43" ht="14.25" x14ac:dyDescent="0.2">
      <c r="A2773" s="31"/>
      <c r="B2773" s="31"/>
      <c r="C2773" s="31" t="s">
        <v>41</v>
      </c>
      <c r="D2773" s="32" t="s">
        <v>39</v>
      </c>
      <c r="E2773" s="4">
        <f>[1]Source!AU2721</f>
        <v>10</v>
      </c>
      <c r="F2773" s="33"/>
      <c r="G2773" s="34"/>
      <c r="H2773" s="4"/>
      <c r="I2773" s="4"/>
      <c r="J2773" s="33">
        <f>SUM(AE2767:AE2772)</f>
        <v>6033.46</v>
      </c>
      <c r="K2773" s="33"/>
      <c r="M2773"/>
      <c r="N2773"/>
      <c r="O2773"/>
      <c r="P2773"/>
      <c r="Q2773"/>
    </row>
    <row r="2774" spans="1:43" ht="14.25" x14ac:dyDescent="0.2">
      <c r="A2774" s="31"/>
      <c r="B2774" s="31"/>
      <c r="C2774" s="31" t="s">
        <v>42</v>
      </c>
      <c r="D2774" s="32" t="s">
        <v>43</v>
      </c>
      <c r="E2774" s="4">
        <f>[1]Source!AQ2721</f>
        <v>0.13</v>
      </c>
      <c r="F2774" s="33"/>
      <c r="G2774" s="34" t="str">
        <f>[1]Source!DI2721</f>
        <v>)*2*90</v>
      </c>
      <c r="H2774" s="4">
        <f>[1]Source!AV2721</f>
        <v>1</v>
      </c>
      <c r="I2774" s="4"/>
      <c r="J2774" s="33"/>
      <c r="K2774" s="33">
        <f>[1]Source!U2721</f>
        <v>243.36000000000004</v>
      </c>
      <c r="M2774"/>
      <c r="N2774"/>
      <c r="O2774"/>
      <c r="P2774"/>
      <c r="Q2774"/>
    </row>
    <row r="2775" spans="1:43" ht="15" x14ac:dyDescent="0.25">
      <c r="A2775" s="35"/>
      <c r="B2775" s="35"/>
      <c r="C2775" s="35"/>
      <c r="D2775" s="35"/>
      <c r="E2775" s="35"/>
      <c r="F2775" s="35"/>
      <c r="G2775" s="35"/>
      <c r="H2775" s="35"/>
      <c r="I2775" s="36">
        <f>J2769+J2770+J2772+J2773+SUM(J2771:J2771)</f>
        <v>108594.72</v>
      </c>
      <c r="J2775" s="36"/>
      <c r="K2775" s="37">
        <f>IF([1]Source!I2721&lt;&gt;0, ROUND(I2775/[1]Source!I2721, 2), 0)</f>
        <v>10441.799999999999</v>
      </c>
      <c r="M2775"/>
      <c r="N2775"/>
      <c r="O2775"/>
      <c r="P2775"/>
      <c r="Q2775"/>
      <c r="AA2775" s="38">
        <f>I2775</f>
        <v>108594.72</v>
      </c>
    </row>
    <row r="2776" spans="1:43" x14ac:dyDescent="0.2">
      <c r="M2776"/>
      <c r="N2776"/>
      <c r="O2776"/>
      <c r="P2776"/>
      <c r="Q2776"/>
    </row>
    <row r="2777" spans="1:43" ht="30" x14ac:dyDescent="0.25">
      <c r="A2777" s="42" t="str">
        <f>CONCATENATE("Итого по разделу: ",IF([1]Source!G2724&lt;&gt;"Новый раздел", [1]Source!G2724, ""))</f>
        <v>Итого по разделу: Содержание садово-парковых дорожных покрытий с мощением парковым, пешеходным с разным уровнем уклона поверхности (S =1040 м2 )</v>
      </c>
      <c r="B2777" s="42"/>
      <c r="C2777" s="42"/>
      <c r="D2777" s="42"/>
      <c r="E2777" s="42"/>
      <c r="F2777" s="42"/>
      <c r="G2777" s="42"/>
      <c r="H2777" s="42"/>
      <c r="I2777" s="43">
        <f>SUM(AA2752:AA2776)</f>
        <v>987452.67</v>
      </c>
      <c r="J2777" s="44"/>
      <c r="K2777" s="47"/>
      <c r="L2777" s="38">
        <f>I2777</f>
        <v>987452.67</v>
      </c>
      <c r="M2777" s="2">
        <f>ROUND(I2777*$I$4874,2)</f>
        <v>713145.08</v>
      </c>
      <c r="N2777" s="2">
        <f>ROUND(M2777*1.2/105*100,2)</f>
        <v>815022.95</v>
      </c>
      <c r="O2777" s="2">
        <f>ROUND(N2777*0.05,2)</f>
        <v>40751.15</v>
      </c>
      <c r="P2777" s="2">
        <f>N2777+O2777</f>
        <v>855774.1</v>
      </c>
      <c r="Q2777" s="3">
        <v>77</v>
      </c>
      <c r="R2777">
        <v>2</v>
      </c>
      <c r="S2777" s="2">
        <v>0</v>
      </c>
      <c r="AQ2777" s="46" t="str">
        <f>CONCATENATE("Итого по разделу: ",IF([1]Source!G2724&lt;&gt;"Новый раздел", [1]Source!G2724, ""))</f>
        <v>Итого по разделу: Содержание садово-парковых дорожных покрытий с мощением парковым, пешеходным с разным уровнем уклона поверхности (S =1040 м2 )</v>
      </c>
    </row>
    <row r="2778" spans="1:43" x14ac:dyDescent="0.2">
      <c r="M2778"/>
      <c r="N2778"/>
      <c r="O2778"/>
      <c r="P2778"/>
      <c r="Q2778"/>
    </row>
    <row r="2779" spans="1:43" x14ac:dyDescent="0.2">
      <c r="M2779"/>
      <c r="N2779"/>
      <c r="O2779"/>
      <c r="P2779"/>
      <c r="Q2779"/>
    </row>
    <row r="2780" spans="1:43" ht="16.5" x14ac:dyDescent="0.25">
      <c r="A2780" s="29" t="str">
        <f>CONCATENATE("Раздел: ",IF([1]Source!G2754&lt;&gt;"Новый раздел", [1]Source!G2754, ""))</f>
        <v>Раздел: Содержание  садово-парковых дорожек с покрытием из гравийной крошки + вокруг МАФ( S= 3676.88 м2)</v>
      </c>
      <c r="B2780" s="29"/>
      <c r="C2780" s="29"/>
      <c r="D2780" s="29"/>
      <c r="E2780" s="29"/>
      <c r="F2780" s="29"/>
      <c r="G2780" s="29"/>
      <c r="H2780" s="29"/>
      <c r="I2780" s="29"/>
      <c r="J2780" s="29"/>
      <c r="K2780" s="29"/>
      <c r="M2780"/>
      <c r="N2780"/>
      <c r="O2780"/>
      <c r="P2780"/>
      <c r="Q2780"/>
      <c r="AP2780" s="30" t="str">
        <f>CONCATENATE("Раздел: ",IF([1]Source!G2754&lt;&gt;"Новый раздел", [1]Source!G2754, ""))</f>
        <v>Раздел: Содержание  садово-парковых дорожек с покрытием из гравийной крошки + вокруг МАФ( S= 3676.88 м2)</v>
      </c>
    </row>
    <row r="2781" spans="1:43" ht="57" x14ac:dyDescent="0.2">
      <c r="A2781" s="31">
        <v>369</v>
      </c>
      <c r="B2781" s="31" t="str">
        <f>[1]Source!F2758</f>
        <v>5.3-1101-13-2/1</v>
      </c>
      <c r="C2781" s="31" t="str">
        <f>[1]Source!G2758</f>
        <v>Подметание вручную дорожек и площадок с грунтовым и щебеночным покрытием ( с гравийным покрытием ) ( прим.)</v>
      </c>
      <c r="D2781" s="32" t="str">
        <f>[1]Source!H2758</f>
        <v>100 м2</v>
      </c>
      <c r="E2781" s="4">
        <f>[1]Source!I2758</f>
        <v>36.768799999999999</v>
      </c>
      <c r="F2781" s="33"/>
      <c r="G2781" s="34"/>
      <c r="H2781" s="4"/>
      <c r="I2781" s="4"/>
      <c r="J2781" s="33"/>
      <c r="K2781" s="33"/>
      <c r="M2781"/>
      <c r="N2781"/>
      <c r="O2781"/>
      <c r="P2781"/>
      <c r="Q2781"/>
      <c r="AB2781">
        <f>ROUND(([1]Source!BZ2758/100)*ROUND(([1]Source!AF2758*[1]Source!AV2758)*[1]Source!I2758, 2), 2)</f>
        <v>1828516.1</v>
      </c>
      <c r="AC2781">
        <f>[1]Source!X2758</f>
        <v>1828516.1</v>
      </c>
      <c r="AD2781">
        <f>ROUND(([1]Source!CA2758/100)*ROUND(([1]Source!AF2758*[1]Source!AV2758)*[1]Source!I2758, 2), 2)</f>
        <v>261216.59</v>
      </c>
      <c r="AE2781">
        <f>[1]Source!Y2758</f>
        <v>261216.59</v>
      </c>
      <c r="AF2781">
        <f>ROUND((175/100)*ROUND(([1]Source!AE2758*[1]Source!AV2758)*[1]Source!I2758, 2), 2)</f>
        <v>0</v>
      </c>
      <c r="AG2781">
        <f>ROUND((108/100)*ROUND([1]Source!CS2758*[1]Source!I2758, 2), 2)</f>
        <v>0</v>
      </c>
    </row>
    <row r="2782" spans="1:43" x14ac:dyDescent="0.2">
      <c r="C2782" s="40" t="str">
        <f>"Объем: "&amp;[1]Source!I2758&amp;"=3676,88/"&amp;"100"</f>
        <v>Объем: 36,7688=3676,88/100</v>
      </c>
      <c r="M2782"/>
      <c r="N2782"/>
      <c r="O2782"/>
      <c r="P2782"/>
      <c r="Q2782"/>
    </row>
    <row r="2783" spans="1:43" ht="14.25" x14ac:dyDescent="0.2">
      <c r="A2783" s="31"/>
      <c r="B2783" s="31"/>
      <c r="C2783" s="31" t="s">
        <v>34</v>
      </c>
      <c r="D2783" s="32"/>
      <c r="E2783" s="4"/>
      <c r="F2783" s="33">
        <f>[1]Source!AO2758</f>
        <v>59.5</v>
      </c>
      <c r="G2783" s="34" t="str">
        <f>[1]Source!DG2758</f>
        <v>)*3*398</v>
      </c>
      <c r="H2783" s="4">
        <f>[1]Source!AV2758</f>
        <v>1</v>
      </c>
      <c r="I2783" s="4">
        <f>IF([1]Source!BA2758&lt;&gt; 0, [1]Source!BA2758, 1)</f>
        <v>1</v>
      </c>
      <c r="J2783" s="33">
        <f>[1]Source!S2758</f>
        <v>2612165.86</v>
      </c>
      <c r="K2783" s="33"/>
      <c r="M2783"/>
      <c r="N2783"/>
      <c r="O2783"/>
      <c r="P2783"/>
      <c r="Q2783"/>
    </row>
    <row r="2784" spans="1:43" ht="14.25" x14ac:dyDescent="0.2">
      <c r="A2784" s="31"/>
      <c r="B2784" s="31"/>
      <c r="C2784" s="31" t="s">
        <v>40</v>
      </c>
      <c r="D2784" s="32" t="s">
        <v>39</v>
      </c>
      <c r="E2784" s="4">
        <f>[1]Source!AT2758</f>
        <v>70</v>
      </c>
      <c r="F2784" s="33"/>
      <c r="G2784" s="34"/>
      <c r="H2784" s="4"/>
      <c r="I2784" s="4"/>
      <c r="J2784" s="33">
        <f>SUM(AC2781:AC2783)</f>
        <v>1828516.1</v>
      </c>
      <c r="K2784" s="33"/>
      <c r="M2784"/>
      <c r="N2784"/>
      <c r="O2784"/>
      <c r="P2784"/>
      <c r="Q2784"/>
    </row>
    <row r="2785" spans="1:33" ht="14.25" x14ac:dyDescent="0.2">
      <c r="A2785" s="31"/>
      <c r="B2785" s="31"/>
      <c r="C2785" s="31" t="s">
        <v>41</v>
      </c>
      <c r="D2785" s="32" t="s">
        <v>39</v>
      </c>
      <c r="E2785" s="4">
        <f>[1]Source!AU2758</f>
        <v>10</v>
      </c>
      <c r="F2785" s="33"/>
      <c r="G2785" s="34"/>
      <c r="H2785" s="4"/>
      <c r="I2785" s="4"/>
      <c r="J2785" s="33">
        <f>SUM(AE2781:AE2784)</f>
        <v>261216.59</v>
      </c>
      <c r="K2785" s="33"/>
      <c r="M2785"/>
      <c r="N2785"/>
      <c r="O2785"/>
      <c r="P2785"/>
      <c r="Q2785"/>
    </row>
    <row r="2786" spans="1:33" ht="14.25" x14ac:dyDescent="0.2">
      <c r="A2786" s="31"/>
      <c r="B2786" s="31"/>
      <c r="C2786" s="31" t="s">
        <v>42</v>
      </c>
      <c r="D2786" s="32" t="s">
        <v>43</v>
      </c>
      <c r="E2786" s="4">
        <f>[1]Source!AQ2758</f>
        <v>0.24</v>
      </c>
      <c r="F2786" s="33"/>
      <c r="G2786" s="34" t="str">
        <f>[1]Source!DI2758</f>
        <v>)*3*398</v>
      </c>
      <c r="H2786" s="4">
        <f>[1]Source!AV2758</f>
        <v>1</v>
      </c>
      <c r="I2786" s="4"/>
      <c r="J2786" s="33"/>
      <c r="K2786" s="33">
        <f>[1]Source!U2758</f>
        <v>10536.467328000001</v>
      </c>
      <c r="M2786"/>
      <c r="N2786"/>
      <c r="O2786"/>
      <c r="P2786"/>
      <c r="Q2786"/>
    </row>
    <row r="2787" spans="1:33" ht="15" x14ac:dyDescent="0.25">
      <c r="A2787" s="35"/>
      <c r="B2787" s="35"/>
      <c r="C2787" s="35"/>
      <c r="D2787" s="35"/>
      <c r="E2787" s="35"/>
      <c r="F2787" s="35"/>
      <c r="G2787" s="35"/>
      <c r="H2787" s="35"/>
      <c r="I2787" s="36">
        <f>J2783+J2784+J2785</f>
        <v>4701898.55</v>
      </c>
      <c r="J2787" s="36"/>
      <c r="K2787" s="37">
        <f>IF([1]Source!I2758&lt;&gt;0, ROUND(I2787/[1]Source!I2758, 2), 0)</f>
        <v>127877.4</v>
      </c>
      <c r="M2787"/>
      <c r="N2787"/>
      <c r="O2787"/>
      <c r="P2787"/>
      <c r="Q2787"/>
      <c r="AA2787" s="38">
        <f>I2787</f>
        <v>4701898.55</v>
      </c>
    </row>
    <row r="2788" spans="1:33" ht="28.5" x14ac:dyDescent="0.2">
      <c r="A2788" s="31">
        <v>370</v>
      </c>
      <c r="B2788" s="31" t="str">
        <f>[1]Source!F2759</f>
        <v>5.3-1101-13-3/1</v>
      </c>
      <c r="C2788" s="31" t="str">
        <f>[1]Source!G2759</f>
        <v>Подметание вручную дорожек и площадок в дни листопада</v>
      </c>
      <c r="D2788" s="32" t="str">
        <f>[1]Source!H2759</f>
        <v>100 м2</v>
      </c>
      <c r="E2788" s="4">
        <f>[1]Source!I2759</f>
        <v>36.768799999999999</v>
      </c>
      <c r="F2788" s="33"/>
      <c r="G2788" s="34"/>
      <c r="H2788" s="4"/>
      <c r="I2788" s="4"/>
      <c r="J2788" s="33"/>
      <c r="K2788" s="33"/>
      <c r="M2788"/>
      <c r="N2788"/>
      <c r="O2788"/>
      <c r="P2788"/>
      <c r="Q2788"/>
      <c r="AB2788">
        <f>ROUND(([1]Source!BZ2759/100)*ROUND(([1]Source!AF2759*[1]Source!AV2759)*[1]Source!I2759, 2), 2)</f>
        <v>141657.68</v>
      </c>
      <c r="AC2788">
        <f>[1]Source!X2759</f>
        <v>141657.68</v>
      </c>
      <c r="AD2788">
        <f>ROUND(([1]Source!CA2759/100)*ROUND(([1]Source!AF2759*[1]Source!AV2759)*[1]Source!I2759, 2), 2)</f>
        <v>20236.810000000001</v>
      </c>
      <c r="AE2788">
        <f>[1]Source!Y2759</f>
        <v>20236.810000000001</v>
      </c>
      <c r="AF2788">
        <f>ROUND((175/100)*ROUND(([1]Source!AE2759*[1]Source!AV2759)*[1]Source!I2759, 2), 2)</f>
        <v>0</v>
      </c>
      <c r="AG2788">
        <f>ROUND((108/100)*ROUND([1]Source!CS2759*[1]Source!I2759, 2), 2)</f>
        <v>0</v>
      </c>
    </row>
    <row r="2789" spans="1:33" x14ac:dyDescent="0.2">
      <c r="C2789" s="40" t="str">
        <f>"Объем: "&amp;[1]Source!I2759&amp;"=3676,88/"&amp;"100"</f>
        <v>Объем: 36,7688=3676,88/100</v>
      </c>
      <c r="M2789"/>
      <c r="N2789"/>
      <c r="O2789"/>
      <c r="P2789"/>
      <c r="Q2789"/>
    </row>
    <row r="2790" spans="1:33" ht="14.25" x14ac:dyDescent="0.2">
      <c r="A2790" s="31"/>
      <c r="B2790" s="31"/>
      <c r="C2790" s="31" t="s">
        <v>34</v>
      </c>
      <c r="D2790" s="32"/>
      <c r="E2790" s="4"/>
      <c r="F2790" s="33">
        <f>[1]Source!AO2759</f>
        <v>91.73</v>
      </c>
      <c r="G2790" s="34" t="str">
        <f>[1]Source!DG2759</f>
        <v>)*1*60</v>
      </c>
      <c r="H2790" s="4">
        <f>[1]Source!AV2759</f>
        <v>1</v>
      </c>
      <c r="I2790" s="4">
        <f>IF([1]Source!BA2759&lt;&gt; 0, [1]Source!BA2759, 1)</f>
        <v>1</v>
      </c>
      <c r="J2790" s="33">
        <f>[1]Source!S2759</f>
        <v>202368.12</v>
      </c>
      <c r="K2790" s="33"/>
      <c r="M2790"/>
      <c r="N2790"/>
      <c r="O2790"/>
      <c r="P2790"/>
      <c r="Q2790"/>
    </row>
    <row r="2791" spans="1:33" ht="14.25" x14ac:dyDescent="0.2">
      <c r="A2791" s="31"/>
      <c r="B2791" s="31"/>
      <c r="C2791" s="31" t="s">
        <v>40</v>
      </c>
      <c r="D2791" s="32" t="s">
        <v>39</v>
      </c>
      <c r="E2791" s="4">
        <f>[1]Source!AT2759</f>
        <v>70</v>
      </c>
      <c r="F2791" s="33"/>
      <c r="G2791" s="34"/>
      <c r="H2791" s="4"/>
      <c r="I2791" s="4"/>
      <c r="J2791" s="33">
        <f>SUM(AC2788:AC2790)</f>
        <v>141657.68</v>
      </c>
      <c r="K2791" s="33"/>
      <c r="M2791"/>
      <c r="N2791"/>
      <c r="O2791"/>
      <c r="P2791"/>
      <c r="Q2791"/>
    </row>
    <row r="2792" spans="1:33" ht="14.25" x14ac:dyDescent="0.2">
      <c r="A2792" s="31"/>
      <c r="B2792" s="31"/>
      <c r="C2792" s="31" t="s">
        <v>41</v>
      </c>
      <c r="D2792" s="32" t="s">
        <v>39</v>
      </c>
      <c r="E2792" s="4">
        <f>[1]Source!AU2759</f>
        <v>10</v>
      </c>
      <c r="F2792" s="33"/>
      <c r="G2792" s="34"/>
      <c r="H2792" s="4"/>
      <c r="I2792" s="4"/>
      <c r="J2792" s="33">
        <f>SUM(AE2788:AE2791)</f>
        <v>20236.810000000001</v>
      </c>
      <c r="K2792" s="33"/>
      <c r="M2792"/>
      <c r="N2792"/>
      <c r="O2792"/>
      <c r="P2792"/>
      <c r="Q2792"/>
    </row>
    <row r="2793" spans="1:33" ht="14.25" x14ac:dyDescent="0.2">
      <c r="A2793" s="31"/>
      <c r="B2793" s="31"/>
      <c r="C2793" s="31" t="s">
        <v>42</v>
      </c>
      <c r="D2793" s="32" t="s">
        <v>43</v>
      </c>
      <c r="E2793" s="4">
        <f>[1]Source!AQ2759</f>
        <v>0.37</v>
      </c>
      <c r="F2793" s="33"/>
      <c r="G2793" s="34" t="str">
        <f>[1]Source!DI2759</f>
        <v>)*1*60</v>
      </c>
      <c r="H2793" s="4">
        <f>[1]Source!AV2759</f>
        <v>1</v>
      </c>
      <c r="I2793" s="4"/>
      <c r="J2793" s="33"/>
      <c r="K2793" s="33">
        <f>[1]Source!U2759</f>
        <v>816.26735999999994</v>
      </c>
      <c r="M2793"/>
      <c r="N2793"/>
      <c r="O2793"/>
      <c r="P2793"/>
      <c r="Q2793"/>
    </row>
    <row r="2794" spans="1:33" ht="15" x14ac:dyDescent="0.25">
      <c r="A2794" s="35"/>
      <c r="B2794" s="35"/>
      <c r="C2794" s="35"/>
      <c r="D2794" s="35"/>
      <c r="E2794" s="35"/>
      <c r="F2794" s="35"/>
      <c r="G2794" s="35"/>
      <c r="H2794" s="35"/>
      <c r="I2794" s="36">
        <f>J2790+J2791+J2792</f>
        <v>364262.61</v>
      </c>
      <c r="J2794" s="36"/>
      <c r="K2794" s="37">
        <f>IF([1]Source!I2759&lt;&gt;0, ROUND(I2794/[1]Source!I2759, 2), 0)</f>
        <v>9906.84</v>
      </c>
      <c r="M2794"/>
      <c r="N2794"/>
      <c r="O2794"/>
      <c r="P2794"/>
      <c r="Q2794"/>
      <c r="AA2794" s="38">
        <f>I2794</f>
        <v>364262.61</v>
      </c>
    </row>
    <row r="2795" spans="1:33" ht="14.25" x14ac:dyDescent="0.2">
      <c r="A2795" s="31">
        <v>371</v>
      </c>
      <c r="B2795" s="31" t="str">
        <f>[1]Source!F2760</f>
        <v>5.3-1101-14-1/1</v>
      </c>
      <c r="C2795" s="31" t="str">
        <f>[1]Source!G2760</f>
        <v>Полив дорожек из шланга вручную</v>
      </c>
      <c r="D2795" s="32" t="str">
        <f>[1]Source!H2760</f>
        <v>100 м2</v>
      </c>
      <c r="E2795" s="4">
        <f>[1]Source!I2760</f>
        <v>36.768799999999999</v>
      </c>
      <c r="F2795" s="33"/>
      <c r="G2795" s="34"/>
      <c r="H2795" s="4"/>
      <c r="I2795" s="4"/>
      <c r="J2795" s="33"/>
      <c r="K2795" s="33"/>
      <c r="M2795"/>
      <c r="N2795"/>
      <c r="O2795"/>
      <c r="P2795"/>
      <c r="Q2795"/>
      <c r="AB2795">
        <f>ROUND(([1]Source!BZ2760/100)*ROUND(([1]Source!AF2760*[1]Source!AV2760)*[1]Source!I2760, 2), 2)</f>
        <v>74658.679999999993</v>
      </c>
      <c r="AC2795">
        <f>[1]Source!X2760</f>
        <v>74658.679999999993</v>
      </c>
      <c r="AD2795">
        <f>ROUND(([1]Source!CA2760/100)*ROUND(([1]Source!AF2760*[1]Source!AV2760)*[1]Source!I2760, 2), 2)</f>
        <v>10665.53</v>
      </c>
      <c r="AE2795">
        <f>[1]Source!Y2760</f>
        <v>10665.53</v>
      </c>
      <c r="AF2795">
        <f>ROUND((175/100)*ROUND(([1]Source!AE2760*[1]Source!AV2760)*[1]Source!I2760, 2), 2)</f>
        <v>0</v>
      </c>
      <c r="AG2795">
        <f>ROUND((108/100)*ROUND([1]Source!CS2760*[1]Source!I2760, 2), 2)</f>
        <v>0</v>
      </c>
    </row>
    <row r="2796" spans="1:33" x14ac:dyDescent="0.2">
      <c r="C2796" s="40" t="str">
        <f>"Объем: "&amp;[1]Source!I2760&amp;"=3676,88/"&amp;"100"</f>
        <v>Объем: 36,7688=3676,88/100</v>
      </c>
      <c r="M2796"/>
      <c r="N2796"/>
      <c r="O2796"/>
      <c r="P2796"/>
      <c r="Q2796"/>
    </row>
    <row r="2797" spans="1:33" ht="14.25" x14ac:dyDescent="0.2">
      <c r="A2797" s="31"/>
      <c r="B2797" s="31"/>
      <c r="C2797" s="31" t="s">
        <v>34</v>
      </c>
      <c r="D2797" s="32"/>
      <c r="E2797" s="4"/>
      <c r="F2797" s="33">
        <f>[1]Source!AO2760</f>
        <v>32.229999999999997</v>
      </c>
      <c r="G2797" s="34" t="str">
        <f>[1]Source!DG2760</f>
        <v>)*1*90</v>
      </c>
      <c r="H2797" s="4">
        <f>[1]Source!AV2760</f>
        <v>1</v>
      </c>
      <c r="I2797" s="4">
        <f>IF([1]Source!BA2760&lt;&gt; 0, [1]Source!BA2760, 1)</f>
        <v>1</v>
      </c>
      <c r="J2797" s="33">
        <f>[1]Source!S2760</f>
        <v>106655.26</v>
      </c>
      <c r="K2797" s="33"/>
      <c r="M2797"/>
      <c r="N2797"/>
      <c r="O2797"/>
      <c r="P2797"/>
      <c r="Q2797"/>
    </row>
    <row r="2798" spans="1:33" ht="14.25" x14ac:dyDescent="0.2">
      <c r="A2798" s="31"/>
      <c r="B2798" s="31"/>
      <c r="C2798" s="31" t="s">
        <v>47</v>
      </c>
      <c r="D2798" s="32"/>
      <c r="E2798" s="4"/>
      <c r="F2798" s="33">
        <f>[1]Source!AL2760</f>
        <v>4.24</v>
      </c>
      <c r="G2798" s="34" t="str">
        <f>[1]Source!DD2760</f>
        <v>)*1*90</v>
      </c>
      <c r="H2798" s="4">
        <f>[1]Source!AW2760</f>
        <v>1</v>
      </c>
      <c r="I2798" s="4">
        <f>IF([1]Source!BC2760&lt;&gt; 0, [1]Source!BC2760, 1)</f>
        <v>1</v>
      </c>
      <c r="J2798" s="33">
        <f>[1]Source!P2760</f>
        <v>14030.97</v>
      </c>
      <c r="K2798" s="33"/>
      <c r="M2798"/>
      <c r="N2798"/>
      <c r="O2798"/>
      <c r="P2798"/>
      <c r="Q2798"/>
    </row>
    <row r="2799" spans="1:33" ht="14.25" x14ac:dyDescent="0.2">
      <c r="A2799" s="31" t="s">
        <v>117</v>
      </c>
      <c r="B2799" s="31" t="str">
        <f>[1]Source!F2761</f>
        <v>21.1-25-13</v>
      </c>
      <c r="C2799" s="31" t="str">
        <f>[1]Source!G2761</f>
        <v>Вода</v>
      </c>
      <c r="D2799" s="32" t="str">
        <f>[1]Source!H2761</f>
        <v>м3</v>
      </c>
      <c r="E2799" s="4">
        <f>[1]Source!I2761</f>
        <v>-330.91919999999999</v>
      </c>
      <c r="F2799" s="33">
        <f>[1]Source!AK2761</f>
        <v>42.44</v>
      </c>
      <c r="G2799" s="39" t="s">
        <v>118</v>
      </c>
      <c r="H2799" s="4">
        <f>[1]Source!AW2761</f>
        <v>1</v>
      </c>
      <c r="I2799" s="4">
        <f>IF([1]Source!BC2761&lt;&gt; 0, [1]Source!BC2761, 1)</f>
        <v>1</v>
      </c>
      <c r="J2799" s="33">
        <f>[1]Source!O2761</f>
        <v>-14044.21</v>
      </c>
      <c r="K2799" s="33"/>
      <c r="M2799"/>
      <c r="N2799"/>
      <c r="O2799"/>
      <c r="P2799"/>
      <c r="Q2799"/>
      <c r="AB2799">
        <f>ROUND(([1]Source!BZ2761/100)*ROUND(([1]Source!AF2761*[1]Source!AV2761)*[1]Source!I2761, 2), 2)</f>
        <v>0</v>
      </c>
      <c r="AC2799">
        <f>[1]Source!X2761</f>
        <v>0</v>
      </c>
      <c r="AD2799">
        <f>ROUND(([1]Source!CA2761/100)*ROUND(([1]Source!AF2761*[1]Source!AV2761)*[1]Source!I2761, 2), 2)</f>
        <v>0</v>
      </c>
      <c r="AE2799">
        <f>[1]Source!Y2761</f>
        <v>0</v>
      </c>
      <c r="AF2799">
        <f>ROUND((175/100)*ROUND(([1]Source!AE2761*[1]Source!AV2761)*[1]Source!I2761, 2), 2)</f>
        <v>0</v>
      </c>
      <c r="AG2799">
        <f>ROUND((108/100)*ROUND([1]Source!CS2761*[1]Source!I2761, 2), 2)</f>
        <v>0</v>
      </c>
    </row>
    <row r="2800" spans="1:33" ht="14.25" x14ac:dyDescent="0.2">
      <c r="A2800" s="31"/>
      <c r="B2800" s="31"/>
      <c r="C2800" s="31" t="s">
        <v>40</v>
      </c>
      <c r="D2800" s="32" t="s">
        <v>39</v>
      </c>
      <c r="E2800" s="4">
        <f>[1]Source!AT2760</f>
        <v>70</v>
      </c>
      <c r="F2800" s="33"/>
      <c r="G2800" s="34"/>
      <c r="H2800" s="4"/>
      <c r="I2800" s="4"/>
      <c r="J2800" s="33">
        <f>SUM(AC2795:AC2799)</f>
        <v>74658.679999999993</v>
      </c>
      <c r="K2800" s="33"/>
      <c r="M2800"/>
      <c r="N2800"/>
      <c r="O2800"/>
      <c r="P2800"/>
      <c r="Q2800"/>
    </row>
    <row r="2801" spans="1:43" ht="14.25" x14ac:dyDescent="0.2">
      <c r="A2801" s="31"/>
      <c r="B2801" s="31"/>
      <c r="C2801" s="31" t="s">
        <v>41</v>
      </c>
      <c r="D2801" s="32" t="s">
        <v>39</v>
      </c>
      <c r="E2801" s="4">
        <f>[1]Source!AU2760</f>
        <v>10</v>
      </c>
      <c r="F2801" s="33"/>
      <c r="G2801" s="34"/>
      <c r="H2801" s="4"/>
      <c r="I2801" s="4"/>
      <c r="J2801" s="33">
        <f>SUM(AE2795:AE2800)</f>
        <v>10665.53</v>
      </c>
      <c r="K2801" s="33"/>
      <c r="M2801"/>
      <c r="N2801"/>
      <c r="O2801"/>
      <c r="P2801"/>
      <c r="Q2801"/>
    </row>
    <row r="2802" spans="1:43" ht="14.25" x14ac:dyDescent="0.2">
      <c r="A2802" s="31"/>
      <c r="B2802" s="31"/>
      <c r="C2802" s="31" t="s">
        <v>42</v>
      </c>
      <c r="D2802" s="32" t="s">
        <v>43</v>
      </c>
      <c r="E2802" s="4">
        <f>[1]Source!AQ2760</f>
        <v>0.13</v>
      </c>
      <c r="F2802" s="33"/>
      <c r="G2802" s="34" t="str">
        <f>[1]Source!DI2760</f>
        <v>)*1*90</v>
      </c>
      <c r="H2802" s="4">
        <f>[1]Source!AV2760</f>
        <v>1</v>
      </c>
      <c r="I2802" s="4"/>
      <c r="J2802" s="33"/>
      <c r="K2802" s="33">
        <f>[1]Source!U2760</f>
        <v>430.19496000000004</v>
      </c>
      <c r="M2802"/>
      <c r="N2802"/>
      <c r="O2802"/>
      <c r="P2802"/>
      <c r="Q2802"/>
    </row>
    <row r="2803" spans="1:43" ht="15" x14ac:dyDescent="0.25">
      <c r="A2803" s="35"/>
      <c r="B2803" s="35"/>
      <c r="C2803" s="35"/>
      <c r="D2803" s="35"/>
      <c r="E2803" s="35"/>
      <c r="F2803" s="35"/>
      <c r="G2803" s="35"/>
      <c r="H2803" s="35"/>
      <c r="I2803" s="36">
        <f>J2797+J2798+J2800+J2801+SUM(J2799:J2799)</f>
        <v>191966.22999999998</v>
      </c>
      <c r="J2803" s="36"/>
      <c r="K2803" s="37">
        <f>IF([1]Source!I2760&lt;&gt;0, ROUND(I2803/[1]Source!I2760, 2), 0)</f>
        <v>5220.8999999999996</v>
      </c>
      <c r="M2803"/>
      <c r="N2803"/>
      <c r="O2803"/>
      <c r="P2803"/>
      <c r="Q2803"/>
      <c r="AA2803" s="38">
        <f>I2803</f>
        <v>191966.22999999998</v>
      </c>
    </row>
    <row r="2804" spans="1:43" ht="28.5" x14ac:dyDescent="0.2">
      <c r="A2804" s="31">
        <v>372</v>
      </c>
      <c r="B2804" s="31" t="str">
        <f>[1]Source!F2762</f>
        <v>калькуляция</v>
      </c>
      <c r="C2804" s="31" t="str">
        <f>[1]Source!G2762</f>
        <v>Очистка дорожек с гравийным покрытием от проросшей травы</v>
      </c>
      <c r="D2804" s="32" t="str">
        <f>[1]Source!H2762</f>
        <v>м2</v>
      </c>
      <c r="E2804" s="4">
        <f>[1]Source!I2762</f>
        <v>3676.88</v>
      </c>
      <c r="F2804" s="33"/>
      <c r="G2804" s="34"/>
      <c r="H2804" s="4"/>
      <c r="I2804" s="4"/>
      <c r="J2804" s="33"/>
      <c r="K2804" s="33"/>
      <c r="M2804"/>
      <c r="N2804"/>
      <c r="O2804"/>
      <c r="P2804"/>
      <c r="Q2804"/>
      <c r="AB2804">
        <f>ROUND(([1]Source!BZ2762/100)*ROUND(([1]Source!AF2762*[1]Source!AV2762)*[1]Source!I2762, 2), 2)</f>
        <v>0</v>
      </c>
      <c r="AC2804">
        <f>[1]Source!X2762</f>
        <v>0</v>
      </c>
      <c r="AD2804">
        <f>ROUND(([1]Source!CA2762/100)*ROUND(([1]Source!AF2762*[1]Source!AV2762)*[1]Source!I2762, 2), 2)</f>
        <v>0</v>
      </c>
      <c r="AE2804">
        <f>[1]Source!Y2762</f>
        <v>0</v>
      </c>
      <c r="AF2804">
        <f>ROUND((175/100)*ROUND(([1]Source!AE2762*[1]Source!AV2762)*[1]Source!I2762, 2), 2)</f>
        <v>0</v>
      </c>
      <c r="AG2804">
        <f>ROUND((108/100)*ROUND([1]Source!CS2762*[1]Source!I2762, 2), 2)</f>
        <v>0</v>
      </c>
    </row>
    <row r="2805" spans="1:43" ht="14.25" x14ac:dyDescent="0.2">
      <c r="A2805" s="31"/>
      <c r="B2805" s="31"/>
      <c r="C2805" s="31" t="s">
        <v>34</v>
      </c>
      <c r="D2805" s="32"/>
      <c r="E2805" s="4"/>
      <c r="F2805" s="33">
        <f>[1]Source!AO2762</f>
        <v>4.9800000000000004</v>
      </c>
      <c r="G2805" s="34" t="str">
        <f>[1]Source!DG2762</f>
        <v>)*1*12</v>
      </c>
      <c r="H2805" s="4">
        <f>[1]Source!AV2762</f>
        <v>1</v>
      </c>
      <c r="I2805" s="4">
        <f>IF([1]Source!BA2762&lt;&gt; 0, [1]Source!BA2762, 1)</f>
        <v>1</v>
      </c>
      <c r="J2805" s="33">
        <f>[1]Source!S2762</f>
        <v>219730.35</v>
      </c>
      <c r="K2805" s="33"/>
      <c r="M2805"/>
      <c r="N2805"/>
      <c r="O2805"/>
      <c r="P2805"/>
      <c r="Q2805"/>
    </row>
    <row r="2806" spans="1:43" ht="15" x14ac:dyDescent="0.25">
      <c r="A2806" s="35"/>
      <c r="B2806" s="35"/>
      <c r="C2806" s="35"/>
      <c r="D2806" s="35"/>
      <c r="E2806" s="35"/>
      <c r="F2806" s="35"/>
      <c r="G2806" s="35"/>
      <c r="H2806" s="35"/>
      <c r="I2806" s="36">
        <f>J2805</f>
        <v>219730.35</v>
      </c>
      <c r="J2806" s="36"/>
      <c r="K2806" s="37">
        <f>IF([1]Source!I2762&lt;&gt;0, ROUND(I2806/[1]Source!I2762, 2), 0)</f>
        <v>59.76</v>
      </c>
      <c r="M2806"/>
      <c r="N2806"/>
      <c r="O2806"/>
      <c r="P2806"/>
      <c r="Q2806"/>
      <c r="AA2806" s="38">
        <f>I2806</f>
        <v>219730.35</v>
      </c>
    </row>
    <row r="2807" spans="1:43" x14ac:dyDescent="0.2">
      <c r="M2807"/>
      <c r="N2807"/>
      <c r="O2807"/>
      <c r="P2807"/>
      <c r="Q2807"/>
    </row>
    <row r="2808" spans="1:43" ht="30" x14ac:dyDescent="0.25">
      <c r="A2808" s="42" t="str">
        <f>CONCATENATE("Итого по разделу: ",IF([1]Source!G2764&lt;&gt;"Новый раздел", [1]Source!G2764, ""))</f>
        <v>Итого по разделу: Содержание  садово-парковых дорожек с покрытием из гравийной крошки + вокруг МАФ( S= 3676.88 м2)</v>
      </c>
      <c r="B2808" s="42"/>
      <c r="C2808" s="42"/>
      <c r="D2808" s="42"/>
      <c r="E2808" s="42"/>
      <c r="F2808" s="42"/>
      <c r="G2808" s="42"/>
      <c r="H2808" s="42"/>
      <c r="I2808" s="43">
        <f>SUM(AA2780:AA2807)</f>
        <v>5477857.7400000002</v>
      </c>
      <c r="J2808" s="44"/>
      <c r="K2808" s="47"/>
      <c r="L2808" s="38">
        <f>I2808</f>
        <v>5477857.7400000002</v>
      </c>
      <c r="M2808" s="2">
        <f>ROUND(I2808*$I$4874,2)</f>
        <v>3956146.37</v>
      </c>
      <c r="N2808" s="2">
        <f>ROUND(M2808*1.2/105*100,2)</f>
        <v>4521310.1399999997</v>
      </c>
      <c r="O2808" s="2">
        <f>ROUND(N2808*0.05,2)</f>
        <v>226065.51</v>
      </c>
      <c r="P2808" s="2">
        <f>N2808+O2808</f>
        <v>4747375.6499999994</v>
      </c>
      <c r="Q2808" s="3">
        <v>78</v>
      </c>
      <c r="R2808">
        <v>2</v>
      </c>
      <c r="S2808" s="2">
        <v>0</v>
      </c>
      <c r="AQ2808" s="46" t="str">
        <f>CONCATENATE("Итого по разделу: ",IF([1]Source!G2764&lt;&gt;"Новый раздел", [1]Source!G2764, ""))</f>
        <v>Итого по разделу: Содержание  садово-парковых дорожек с покрытием из гравийной крошки + вокруг МАФ( S= 3676.88 м2)</v>
      </c>
    </row>
    <row r="2809" spans="1:43" x14ac:dyDescent="0.2">
      <c r="M2809"/>
      <c r="N2809"/>
      <c r="O2809"/>
      <c r="P2809"/>
      <c r="Q2809"/>
    </row>
    <row r="2810" spans="1:43" x14ac:dyDescent="0.2">
      <c r="M2810"/>
      <c r="N2810"/>
      <c r="O2810"/>
      <c r="P2810"/>
      <c r="Q2810"/>
    </row>
    <row r="2811" spans="1:43" ht="33" x14ac:dyDescent="0.25">
      <c r="A2811" s="29" t="str">
        <f>CONCATENATE("Раздел: ",IF([1]Source!G2794&lt;&gt;"Новый раздел", [1]Source!G2794, ""))</f>
        <v>Раздел: Содержание садово-парковых дорожных покрытий из гравийной крошки с разным уровнем уклона поверхности( S=615 м2)</v>
      </c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M2811"/>
      <c r="N2811"/>
      <c r="O2811"/>
      <c r="P2811"/>
      <c r="Q2811"/>
      <c r="AP2811" s="30" t="str">
        <f>CONCATENATE("Раздел: ",IF([1]Source!G2794&lt;&gt;"Новый раздел", [1]Source!G2794, ""))</f>
        <v>Раздел: Содержание садово-парковых дорожных покрытий из гравийной крошки с разным уровнем уклона поверхности( S=615 м2)</v>
      </c>
    </row>
    <row r="2812" spans="1:43" ht="57" x14ac:dyDescent="0.2">
      <c r="A2812" s="31">
        <v>373</v>
      </c>
      <c r="B2812" s="31" t="str">
        <f>[1]Source!F2798</f>
        <v>5.3-1101-13-2/1</v>
      </c>
      <c r="C2812" s="31" t="str">
        <f>[1]Source!G2798</f>
        <v>Подметание вручную дорожек и площадок с грунтовым и щебеночным покрытием ( с гравийным покрытием ) ( прим.)</v>
      </c>
      <c r="D2812" s="32" t="str">
        <f>[1]Source!H2798</f>
        <v>100 м2</v>
      </c>
      <c r="E2812" s="4">
        <f>[1]Source!I2798</f>
        <v>6.15</v>
      </c>
      <c r="F2812" s="33"/>
      <c r="G2812" s="34"/>
      <c r="H2812" s="4"/>
      <c r="I2812" s="4"/>
      <c r="J2812" s="33"/>
      <c r="K2812" s="33"/>
      <c r="M2812"/>
      <c r="N2812"/>
      <c r="O2812"/>
      <c r="P2812"/>
      <c r="Q2812"/>
      <c r="AB2812">
        <f>ROUND(([1]Source!BZ2798/100)*ROUND(([1]Source!AF2798*[1]Source!AV2798)*[1]Source!I2798, 2), 2)</f>
        <v>305840.12</v>
      </c>
      <c r="AC2812">
        <f>[1]Source!X2798</f>
        <v>305840.12</v>
      </c>
      <c r="AD2812">
        <f>ROUND(([1]Source!CA2798/100)*ROUND(([1]Source!AF2798*[1]Source!AV2798)*[1]Source!I2798, 2), 2)</f>
        <v>43691.45</v>
      </c>
      <c r="AE2812">
        <f>[1]Source!Y2798</f>
        <v>43691.45</v>
      </c>
      <c r="AF2812">
        <f>ROUND((175/100)*ROUND(([1]Source!AE2798*[1]Source!AV2798)*[1]Source!I2798, 2), 2)</f>
        <v>0</v>
      </c>
      <c r="AG2812">
        <f>ROUND((108/100)*ROUND([1]Source!CS2798*[1]Source!I2798, 2), 2)</f>
        <v>0</v>
      </c>
    </row>
    <row r="2813" spans="1:43" x14ac:dyDescent="0.2">
      <c r="C2813" s="40" t="str">
        <f>"Объем: "&amp;[1]Source!I2798&amp;"=615/"&amp;"100"</f>
        <v>Объем: 6,15=615/100</v>
      </c>
      <c r="M2813"/>
      <c r="N2813"/>
      <c r="O2813"/>
      <c r="P2813"/>
      <c r="Q2813"/>
    </row>
    <row r="2814" spans="1:43" ht="14.25" x14ac:dyDescent="0.2">
      <c r="A2814" s="31"/>
      <c r="B2814" s="31"/>
      <c r="C2814" s="31" t="s">
        <v>34</v>
      </c>
      <c r="D2814" s="32"/>
      <c r="E2814" s="4"/>
      <c r="F2814" s="33">
        <f>[1]Source!AO2798</f>
        <v>59.5</v>
      </c>
      <c r="G2814" s="34" t="str">
        <f>[1]Source!DG2798</f>
        <v>)*3*398</v>
      </c>
      <c r="H2814" s="4">
        <f>[1]Source!AV2798</f>
        <v>1</v>
      </c>
      <c r="I2814" s="4">
        <f>IF([1]Source!BA2798&lt;&gt; 0, [1]Source!BA2798, 1)</f>
        <v>1</v>
      </c>
      <c r="J2814" s="33">
        <f>[1]Source!S2798</f>
        <v>436914.45</v>
      </c>
      <c r="K2814" s="33"/>
      <c r="M2814"/>
      <c r="N2814"/>
      <c r="O2814"/>
      <c r="P2814"/>
      <c r="Q2814"/>
    </row>
    <row r="2815" spans="1:43" ht="14.25" x14ac:dyDescent="0.2">
      <c r="A2815" s="31"/>
      <c r="B2815" s="31"/>
      <c r="C2815" s="31" t="s">
        <v>40</v>
      </c>
      <c r="D2815" s="32" t="s">
        <v>39</v>
      </c>
      <c r="E2815" s="4">
        <f>[1]Source!AT2798</f>
        <v>70</v>
      </c>
      <c r="F2815" s="33"/>
      <c r="G2815" s="34"/>
      <c r="H2815" s="4"/>
      <c r="I2815" s="4"/>
      <c r="J2815" s="33">
        <f>SUM(AC2812:AC2814)</f>
        <v>305840.12</v>
      </c>
      <c r="K2815" s="33"/>
      <c r="M2815"/>
      <c r="N2815"/>
      <c r="O2815"/>
      <c r="P2815"/>
      <c r="Q2815"/>
    </row>
    <row r="2816" spans="1:43" ht="14.25" x14ac:dyDescent="0.2">
      <c r="A2816" s="31"/>
      <c r="B2816" s="31"/>
      <c r="C2816" s="31" t="s">
        <v>41</v>
      </c>
      <c r="D2816" s="32" t="s">
        <v>39</v>
      </c>
      <c r="E2816" s="4">
        <f>[1]Source!AU2798</f>
        <v>10</v>
      </c>
      <c r="F2816" s="33"/>
      <c r="G2816" s="34"/>
      <c r="H2816" s="4"/>
      <c r="I2816" s="4"/>
      <c r="J2816" s="33">
        <f>SUM(AE2812:AE2815)</f>
        <v>43691.45</v>
      </c>
      <c r="K2816" s="33"/>
      <c r="M2816"/>
      <c r="N2816"/>
      <c r="O2816"/>
      <c r="P2816"/>
      <c r="Q2816"/>
    </row>
    <row r="2817" spans="1:33" ht="14.25" x14ac:dyDescent="0.2">
      <c r="A2817" s="31"/>
      <c r="B2817" s="31"/>
      <c r="C2817" s="31" t="s">
        <v>42</v>
      </c>
      <c r="D2817" s="32" t="s">
        <v>43</v>
      </c>
      <c r="E2817" s="4">
        <f>[1]Source!AQ2798</f>
        <v>0.24</v>
      </c>
      <c r="F2817" s="33"/>
      <c r="G2817" s="34" t="str">
        <f>[1]Source!DI2798</f>
        <v>)*3*398</v>
      </c>
      <c r="H2817" s="4">
        <f>[1]Source!AV2798</f>
        <v>1</v>
      </c>
      <c r="I2817" s="4"/>
      <c r="J2817" s="33"/>
      <c r="K2817" s="33">
        <f>[1]Source!U2798</f>
        <v>1762.3440000000001</v>
      </c>
      <c r="M2817"/>
      <c r="N2817"/>
      <c r="O2817"/>
      <c r="P2817"/>
      <c r="Q2817"/>
    </row>
    <row r="2818" spans="1:33" ht="15" x14ac:dyDescent="0.25">
      <c r="A2818" s="35"/>
      <c r="B2818" s="35"/>
      <c r="C2818" s="35"/>
      <c r="D2818" s="35"/>
      <c r="E2818" s="35"/>
      <c r="F2818" s="35"/>
      <c r="G2818" s="35"/>
      <c r="H2818" s="35"/>
      <c r="I2818" s="36">
        <f>J2814+J2815+J2816</f>
        <v>786446.02</v>
      </c>
      <c r="J2818" s="36"/>
      <c r="K2818" s="37">
        <f>IF([1]Source!I2798&lt;&gt;0, ROUND(I2818/[1]Source!I2798, 2), 0)</f>
        <v>127877.4</v>
      </c>
      <c r="M2818"/>
      <c r="N2818"/>
      <c r="O2818"/>
      <c r="P2818"/>
      <c r="Q2818"/>
      <c r="AA2818" s="38">
        <f>I2818</f>
        <v>786446.02</v>
      </c>
    </row>
    <row r="2819" spans="1:33" ht="28.5" x14ac:dyDescent="0.2">
      <c r="A2819" s="31">
        <v>374</v>
      </c>
      <c r="B2819" s="31" t="str">
        <f>[1]Source!F2799</f>
        <v>5.3-1101-13-3/1</v>
      </c>
      <c r="C2819" s="31" t="str">
        <f>[1]Source!G2799</f>
        <v>Подметание вручную дорожек и площадок в дни листопада</v>
      </c>
      <c r="D2819" s="32" t="str">
        <f>[1]Source!H2799</f>
        <v>100 м2</v>
      </c>
      <c r="E2819" s="4">
        <f>[1]Source!I2799</f>
        <v>6.15</v>
      </c>
      <c r="F2819" s="33"/>
      <c r="G2819" s="34"/>
      <c r="H2819" s="4"/>
      <c r="I2819" s="4"/>
      <c r="J2819" s="33"/>
      <c r="K2819" s="33"/>
      <c r="M2819"/>
      <c r="N2819"/>
      <c r="O2819"/>
      <c r="P2819"/>
      <c r="Q2819"/>
      <c r="AB2819">
        <f>ROUND(([1]Source!BZ2799/100)*ROUND(([1]Source!AF2799*[1]Source!AV2799)*[1]Source!I2799, 2), 2)</f>
        <v>23693.86</v>
      </c>
      <c r="AC2819">
        <f>[1]Source!X2799</f>
        <v>23693.86</v>
      </c>
      <c r="AD2819">
        <f>ROUND(([1]Source!CA2799/100)*ROUND(([1]Source!AF2799*[1]Source!AV2799)*[1]Source!I2799, 2), 2)</f>
        <v>3384.84</v>
      </c>
      <c r="AE2819">
        <f>[1]Source!Y2799</f>
        <v>3384.84</v>
      </c>
      <c r="AF2819">
        <f>ROUND((175/100)*ROUND(([1]Source!AE2799*[1]Source!AV2799)*[1]Source!I2799, 2), 2)</f>
        <v>0</v>
      </c>
      <c r="AG2819">
        <f>ROUND((108/100)*ROUND([1]Source!CS2799*[1]Source!I2799, 2), 2)</f>
        <v>0</v>
      </c>
    </row>
    <row r="2820" spans="1:33" x14ac:dyDescent="0.2">
      <c r="C2820" s="40" t="str">
        <f>"Объем: "&amp;[1]Source!I2799&amp;"=615/"&amp;"100"</f>
        <v>Объем: 6,15=615/100</v>
      </c>
      <c r="M2820"/>
      <c r="N2820"/>
      <c r="O2820"/>
      <c r="P2820"/>
      <c r="Q2820"/>
    </row>
    <row r="2821" spans="1:33" ht="14.25" x14ac:dyDescent="0.2">
      <c r="A2821" s="31"/>
      <c r="B2821" s="31"/>
      <c r="C2821" s="31" t="s">
        <v>34</v>
      </c>
      <c r="D2821" s="32"/>
      <c r="E2821" s="4"/>
      <c r="F2821" s="33">
        <f>[1]Source!AO2799</f>
        <v>91.73</v>
      </c>
      <c r="G2821" s="34" t="str">
        <f>[1]Source!DG2799</f>
        <v>)*1*60</v>
      </c>
      <c r="H2821" s="4">
        <f>[1]Source!AV2799</f>
        <v>1</v>
      </c>
      <c r="I2821" s="4">
        <f>IF([1]Source!BA2799&lt;&gt; 0, [1]Source!BA2799, 1)</f>
        <v>1</v>
      </c>
      <c r="J2821" s="33">
        <f>[1]Source!S2799</f>
        <v>33848.370000000003</v>
      </c>
      <c r="K2821" s="33"/>
      <c r="M2821"/>
      <c r="N2821"/>
      <c r="O2821"/>
      <c r="P2821"/>
      <c r="Q2821"/>
    </row>
    <row r="2822" spans="1:33" ht="14.25" x14ac:dyDescent="0.2">
      <c r="A2822" s="31"/>
      <c r="B2822" s="31"/>
      <c r="C2822" s="31" t="s">
        <v>40</v>
      </c>
      <c r="D2822" s="32" t="s">
        <v>39</v>
      </c>
      <c r="E2822" s="4">
        <f>[1]Source!AT2799</f>
        <v>70</v>
      </c>
      <c r="F2822" s="33"/>
      <c r="G2822" s="34"/>
      <c r="H2822" s="4"/>
      <c r="I2822" s="4"/>
      <c r="J2822" s="33">
        <f>SUM(AC2819:AC2821)</f>
        <v>23693.86</v>
      </c>
      <c r="K2822" s="33"/>
      <c r="M2822"/>
      <c r="N2822"/>
      <c r="O2822"/>
      <c r="P2822"/>
      <c r="Q2822"/>
    </row>
    <row r="2823" spans="1:33" ht="14.25" x14ac:dyDescent="0.2">
      <c r="A2823" s="31"/>
      <c r="B2823" s="31"/>
      <c r="C2823" s="31" t="s">
        <v>41</v>
      </c>
      <c r="D2823" s="32" t="s">
        <v>39</v>
      </c>
      <c r="E2823" s="4">
        <f>[1]Source!AU2799</f>
        <v>10</v>
      </c>
      <c r="F2823" s="33"/>
      <c r="G2823" s="34"/>
      <c r="H2823" s="4"/>
      <c r="I2823" s="4"/>
      <c r="J2823" s="33">
        <f>SUM(AE2819:AE2822)</f>
        <v>3384.84</v>
      </c>
      <c r="K2823" s="33"/>
      <c r="M2823"/>
      <c r="N2823"/>
      <c r="O2823"/>
      <c r="P2823"/>
      <c r="Q2823"/>
    </row>
    <row r="2824" spans="1:33" ht="14.25" x14ac:dyDescent="0.2">
      <c r="A2824" s="31"/>
      <c r="B2824" s="31"/>
      <c r="C2824" s="31" t="s">
        <v>42</v>
      </c>
      <c r="D2824" s="32" t="s">
        <v>43</v>
      </c>
      <c r="E2824" s="4">
        <f>[1]Source!AQ2799</f>
        <v>0.37</v>
      </c>
      <c r="F2824" s="33"/>
      <c r="G2824" s="34" t="str">
        <f>[1]Source!DI2799</f>
        <v>)*1*60</v>
      </c>
      <c r="H2824" s="4">
        <f>[1]Source!AV2799</f>
        <v>1</v>
      </c>
      <c r="I2824" s="4"/>
      <c r="J2824" s="33"/>
      <c r="K2824" s="33">
        <f>[1]Source!U2799</f>
        <v>136.53</v>
      </c>
      <c r="M2824"/>
      <c r="N2824"/>
      <c r="O2824"/>
      <c r="P2824"/>
      <c r="Q2824"/>
    </row>
    <row r="2825" spans="1:33" ht="15" x14ac:dyDescent="0.25">
      <c r="A2825" s="35"/>
      <c r="B2825" s="35"/>
      <c r="C2825" s="35"/>
      <c r="D2825" s="35"/>
      <c r="E2825" s="35"/>
      <c r="F2825" s="35"/>
      <c r="G2825" s="35"/>
      <c r="H2825" s="35"/>
      <c r="I2825" s="36">
        <f>J2821+J2822+J2823</f>
        <v>60927.070000000007</v>
      </c>
      <c r="J2825" s="36"/>
      <c r="K2825" s="37">
        <f>IF([1]Source!I2799&lt;&gt;0, ROUND(I2825/[1]Source!I2799, 2), 0)</f>
        <v>9906.84</v>
      </c>
      <c r="M2825"/>
      <c r="N2825"/>
      <c r="O2825"/>
      <c r="P2825"/>
      <c r="Q2825"/>
      <c r="AA2825" s="38">
        <f>I2825</f>
        <v>60927.070000000007</v>
      </c>
    </row>
    <row r="2826" spans="1:33" ht="14.25" x14ac:dyDescent="0.2">
      <c r="A2826" s="31">
        <v>375</v>
      </c>
      <c r="B2826" s="31" t="str">
        <f>[1]Source!F2800</f>
        <v>5.3-1101-14-1/1</v>
      </c>
      <c r="C2826" s="31" t="str">
        <f>[1]Source!G2800</f>
        <v>Полив дорожек из шланга вручную</v>
      </c>
      <c r="D2826" s="32" t="str">
        <f>[1]Source!H2800</f>
        <v>100 м2</v>
      </c>
      <c r="E2826" s="4">
        <f>[1]Source!I2800</f>
        <v>6.15</v>
      </c>
      <c r="F2826" s="33"/>
      <c r="G2826" s="34"/>
      <c r="H2826" s="4"/>
      <c r="I2826" s="4"/>
      <c r="J2826" s="33"/>
      <c r="K2826" s="33"/>
      <c r="M2826"/>
      <c r="N2826"/>
      <c r="O2826"/>
      <c r="P2826"/>
      <c r="Q2826"/>
      <c r="AB2826">
        <f>ROUND(([1]Source!BZ2800/100)*ROUND(([1]Source!AF2800*[1]Source!AV2800)*[1]Source!I2800, 2), 2)</f>
        <v>12487.52</v>
      </c>
      <c r="AC2826">
        <f>[1]Source!X2800</f>
        <v>12487.52</v>
      </c>
      <c r="AD2826">
        <f>ROUND(([1]Source!CA2800/100)*ROUND(([1]Source!AF2800*[1]Source!AV2800)*[1]Source!I2800, 2), 2)</f>
        <v>1783.93</v>
      </c>
      <c r="AE2826">
        <f>[1]Source!Y2800</f>
        <v>1783.93</v>
      </c>
      <c r="AF2826">
        <f>ROUND((175/100)*ROUND(([1]Source!AE2800*[1]Source!AV2800)*[1]Source!I2800, 2), 2)</f>
        <v>0</v>
      </c>
      <c r="AG2826">
        <f>ROUND((108/100)*ROUND([1]Source!CS2800*[1]Source!I2800, 2), 2)</f>
        <v>0</v>
      </c>
    </row>
    <row r="2827" spans="1:33" x14ac:dyDescent="0.2">
      <c r="C2827" s="40" t="str">
        <f>"Объем: "&amp;[1]Source!I2800&amp;"=615/"&amp;"100"</f>
        <v>Объем: 6,15=615/100</v>
      </c>
      <c r="M2827"/>
      <c r="N2827"/>
      <c r="O2827"/>
      <c r="P2827"/>
      <c r="Q2827"/>
    </row>
    <row r="2828" spans="1:33" ht="14.25" x14ac:dyDescent="0.2">
      <c r="A2828" s="31"/>
      <c r="B2828" s="31"/>
      <c r="C2828" s="31" t="s">
        <v>34</v>
      </c>
      <c r="D2828" s="32"/>
      <c r="E2828" s="4"/>
      <c r="F2828" s="33">
        <f>[1]Source!AO2800</f>
        <v>32.229999999999997</v>
      </c>
      <c r="G2828" s="34" t="str">
        <f>[1]Source!DG2800</f>
        <v>)*1*90</v>
      </c>
      <c r="H2828" s="4">
        <f>[1]Source!AV2800</f>
        <v>1</v>
      </c>
      <c r="I2828" s="4">
        <f>IF([1]Source!BA2800&lt;&gt; 0, [1]Source!BA2800, 1)</f>
        <v>1</v>
      </c>
      <c r="J2828" s="33">
        <f>[1]Source!S2800</f>
        <v>17839.310000000001</v>
      </c>
      <c r="K2828" s="33"/>
      <c r="M2828"/>
      <c r="N2828"/>
      <c r="O2828"/>
      <c r="P2828"/>
      <c r="Q2828"/>
    </row>
    <row r="2829" spans="1:33" ht="14.25" x14ac:dyDescent="0.2">
      <c r="A2829" s="31"/>
      <c r="B2829" s="31"/>
      <c r="C2829" s="31" t="s">
        <v>47</v>
      </c>
      <c r="D2829" s="32"/>
      <c r="E2829" s="4"/>
      <c r="F2829" s="33">
        <f>[1]Source!AL2800</f>
        <v>4.24</v>
      </c>
      <c r="G2829" s="34" t="str">
        <f>[1]Source!DD2800</f>
        <v>)*1*90</v>
      </c>
      <c r="H2829" s="4">
        <f>[1]Source!AW2800</f>
        <v>1</v>
      </c>
      <c r="I2829" s="4">
        <f>IF([1]Source!BC2800&lt;&gt; 0, [1]Source!BC2800, 1)</f>
        <v>1</v>
      </c>
      <c r="J2829" s="33">
        <f>[1]Source!P2800</f>
        <v>2346.84</v>
      </c>
      <c r="K2829" s="33"/>
      <c r="M2829"/>
      <c r="N2829"/>
      <c r="O2829"/>
      <c r="P2829"/>
      <c r="Q2829"/>
    </row>
    <row r="2830" spans="1:33" ht="14.25" x14ac:dyDescent="0.2">
      <c r="A2830" s="31" t="s">
        <v>119</v>
      </c>
      <c r="B2830" s="31" t="str">
        <f>[1]Source!F2801</f>
        <v>21.1-25-13</v>
      </c>
      <c r="C2830" s="31" t="str">
        <f>[1]Source!G2801</f>
        <v>Вода</v>
      </c>
      <c r="D2830" s="32" t="str">
        <f>[1]Source!H2801</f>
        <v>м3</v>
      </c>
      <c r="E2830" s="4">
        <f>[1]Source!I2801</f>
        <v>-55.35</v>
      </c>
      <c r="F2830" s="33">
        <f>[1]Source!AK2801</f>
        <v>42.44</v>
      </c>
      <c r="G2830" s="39" t="s">
        <v>118</v>
      </c>
      <c r="H2830" s="4">
        <f>[1]Source!AW2801</f>
        <v>1</v>
      </c>
      <c r="I2830" s="4">
        <f>IF([1]Source!BC2801&lt;&gt; 0, [1]Source!BC2801, 1)</f>
        <v>1</v>
      </c>
      <c r="J2830" s="33">
        <f>[1]Source!O2801</f>
        <v>-2349.0500000000002</v>
      </c>
      <c r="K2830" s="33"/>
      <c r="M2830"/>
      <c r="N2830"/>
      <c r="O2830"/>
      <c r="P2830"/>
      <c r="Q2830"/>
      <c r="AB2830">
        <f>ROUND(([1]Source!BZ2801/100)*ROUND(([1]Source!AF2801*[1]Source!AV2801)*[1]Source!I2801, 2), 2)</f>
        <v>0</v>
      </c>
      <c r="AC2830">
        <f>[1]Source!X2801</f>
        <v>0</v>
      </c>
      <c r="AD2830">
        <f>ROUND(([1]Source!CA2801/100)*ROUND(([1]Source!AF2801*[1]Source!AV2801)*[1]Source!I2801, 2), 2)</f>
        <v>0</v>
      </c>
      <c r="AE2830">
        <f>[1]Source!Y2801</f>
        <v>0</v>
      </c>
      <c r="AF2830">
        <f>ROUND((175/100)*ROUND(([1]Source!AE2801*[1]Source!AV2801)*[1]Source!I2801, 2), 2)</f>
        <v>0</v>
      </c>
      <c r="AG2830">
        <f>ROUND((108/100)*ROUND([1]Source!CS2801*[1]Source!I2801, 2), 2)</f>
        <v>0</v>
      </c>
    </row>
    <row r="2831" spans="1:33" ht="14.25" x14ac:dyDescent="0.2">
      <c r="A2831" s="31"/>
      <c r="B2831" s="31"/>
      <c r="C2831" s="31" t="s">
        <v>40</v>
      </c>
      <c r="D2831" s="32" t="s">
        <v>39</v>
      </c>
      <c r="E2831" s="4">
        <f>[1]Source!AT2800</f>
        <v>70</v>
      </c>
      <c r="F2831" s="33"/>
      <c r="G2831" s="34"/>
      <c r="H2831" s="4"/>
      <c r="I2831" s="4"/>
      <c r="J2831" s="33">
        <f>SUM(AC2826:AC2830)</f>
        <v>12487.52</v>
      </c>
      <c r="K2831" s="33"/>
      <c r="M2831"/>
      <c r="N2831"/>
      <c r="O2831"/>
      <c r="P2831"/>
      <c r="Q2831"/>
    </row>
    <row r="2832" spans="1:33" ht="14.25" x14ac:dyDescent="0.2">
      <c r="A2832" s="31"/>
      <c r="B2832" s="31"/>
      <c r="C2832" s="31" t="s">
        <v>41</v>
      </c>
      <c r="D2832" s="32" t="s">
        <v>39</v>
      </c>
      <c r="E2832" s="4">
        <f>[1]Source!AU2800</f>
        <v>10</v>
      </c>
      <c r="F2832" s="33"/>
      <c r="G2832" s="34"/>
      <c r="H2832" s="4"/>
      <c r="I2832" s="4"/>
      <c r="J2832" s="33">
        <f>SUM(AE2826:AE2831)</f>
        <v>1783.93</v>
      </c>
      <c r="K2832" s="33"/>
      <c r="M2832"/>
      <c r="N2832"/>
      <c r="O2832"/>
      <c r="P2832"/>
      <c r="Q2832"/>
    </row>
    <row r="2833" spans="1:43" ht="14.25" x14ac:dyDescent="0.2">
      <c r="A2833" s="31"/>
      <c r="B2833" s="31"/>
      <c r="C2833" s="31" t="s">
        <v>42</v>
      </c>
      <c r="D2833" s="32" t="s">
        <v>43</v>
      </c>
      <c r="E2833" s="4">
        <f>[1]Source!AQ2800</f>
        <v>0.13</v>
      </c>
      <c r="F2833" s="33"/>
      <c r="G2833" s="34" t="str">
        <f>[1]Source!DI2800</f>
        <v>)*1*90</v>
      </c>
      <c r="H2833" s="4">
        <f>[1]Source!AV2800</f>
        <v>1</v>
      </c>
      <c r="I2833" s="4"/>
      <c r="J2833" s="33"/>
      <c r="K2833" s="33">
        <f>[1]Source!U2800</f>
        <v>71.955000000000013</v>
      </c>
      <c r="M2833"/>
      <c r="N2833"/>
      <c r="O2833"/>
      <c r="P2833"/>
      <c r="Q2833"/>
    </row>
    <row r="2834" spans="1:43" ht="15" x14ac:dyDescent="0.25">
      <c r="A2834" s="35"/>
      <c r="B2834" s="35"/>
      <c r="C2834" s="35"/>
      <c r="D2834" s="35"/>
      <c r="E2834" s="35"/>
      <c r="F2834" s="35"/>
      <c r="G2834" s="35"/>
      <c r="H2834" s="35"/>
      <c r="I2834" s="36">
        <f>J2828+J2829+J2831+J2832+SUM(J2830:J2830)</f>
        <v>32108.55</v>
      </c>
      <c r="J2834" s="36"/>
      <c r="K2834" s="37">
        <f>IF([1]Source!I2800&lt;&gt;0, ROUND(I2834/[1]Source!I2800, 2), 0)</f>
        <v>5220.8999999999996</v>
      </c>
      <c r="M2834"/>
      <c r="N2834"/>
      <c r="O2834"/>
      <c r="P2834"/>
      <c r="Q2834"/>
      <c r="AA2834" s="38">
        <f>I2834</f>
        <v>32108.55</v>
      </c>
    </row>
    <row r="2835" spans="1:43" ht="28.5" x14ac:dyDescent="0.2">
      <c r="A2835" s="31">
        <v>376</v>
      </c>
      <c r="B2835" s="31" t="str">
        <f>[1]Source!F2802</f>
        <v>калькуляция</v>
      </c>
      <c r="C2835" s="31" t="str">
        <f>[1]Source!G2802</f>
        <v>Очистка дорожек с гравийным покрытием от проросшей травы</v>
      </c>
      <c r="D2835" s="32" t="str">
        <f>[1]Source!H2802</f>
        <v>м2</v>
      </c>
      <c r="E2835" s="4">
        <f>[1]Source!I2802</f>
        <v>615</v>
      </c>
      <c r="F2835" s="33"/>
      <c r="G2835" s="34"/>
      <c r="H2835" s="4"/>
      <c r="I2835" s="4"/>
      <c r="J2835" s="33"/>
      <c r="K2835" s="33"/>
      <c r="M2835"/>
      <c r="N2835"/>
      <c r="O2835"/>
      <c r="P2835"/>
      <c r="Q2835"/>
      <c r="AB2835">
        <f>ROUND(([1]Source!BZ2802/100)*ROUND(([1]Source!AF2802*[1]Source!AV2802)*[1]Source!I2802, 2), 2)</f>
        <v>0</v>
      </c>
      <c r="AC2835">
        <f>[1]Source!X2802</f>
        <v>0</v>
      </c>
      <c r="AD2835">
        <f>ROUND(([1]Source!CA2802/100)*ROUND(([1]Source!AF2802*[1]Source!AV2802)*[1]Source!I2802, 2), 2)</f>
        <v>0</v>
      </c>
      <c r="AE2835">
        <f>[1]Source!Y2802</f>
        <v>0</v>
      </c>
      <c r="AF2835">
        <f>ROUND((175/100)*ROUND(([1]Source!AE2802*[1]Source!AV2802)*[1]Source!I2802, 2), 2)</f>
        <v>0</v>
      </c>
      <c r="AG2835">
        <f>ROUND((108/100)*ROUND([1]Source!CS2802*[1]Source!I2802, 2), 2)</f>
        <v>0</v>
      </c>
    </row>
    <row r="2836" spans="1:43" ht="14.25" x14ac:dyDescent="0.2">
      <c r="A2836" s="31"/>
      <c r="B2836" s="31"/>
      <c r="C2836" s="31" t="s">
        <v>34</v>
      </c>
      <c r="D2836" s="32"/>
      <c r="E2836" s="4"/>
      <c r="F2836" s="33">
        <f>[1]Source!AO2802</f>
        <v>4.9800000000000004</v>
      </c>
      <c r="G2836" s="34" t="str">
        <f>[1]Source!DG2802</f>
        <v>)*1*12</v>
      </c>
      <c r="H2836" s="4">
        <f>[1]Source!AV2802</f>
        <v>1</v>
      </c>
      <c r="I2836" s="4">
        <f>IF([1]Source!BA2802&lt;&gt; 0, [1]Source!BA2802, 1)</f>
        <v>1</v>
      </c>
      <c r="J2836" s="33">
        <f>[1]Source!S2802</f>
        <v>36752.400000000001</v>
      </c>
      <c r="K2836" s="33"/>
      <c r="M2836"/>
      <c r="N2836"/>
      <c r="O2836"/>
      <c r="P2836"/>
      <c r="Q2836"/>
    </row>
    <row r="2837" spans="1:43" ht="15" x14ac:dyDescent="0.25">
      <c r="A2837" s="35"/>
      <c r="B2837" s="35"/>
      <c r="C2837" s="35"/>
      <c r="D2837" s="35"/>
      <c r="E2837" s="35"/>
      <c r="F2837" s="35"/>
      <c r="G2837" s="35"/>
      <c r="H2837" s="35"/>
      <c r="I2837" s="36">
        <f>J2836</f>
        <v>36752.400000000001</v>
      </c>
      <c r="J2837" s="36"/>
      <c r="K2837" s="37">
        <f>IF([1]Source!I2802&lt;&gt;0, ROUND(I2837/[1]Source!I2802, 2), 0)</f>
        <v>59.76</v>
      </c>
      <c r="M2837"/>
      <c r="N2837"/>
      <c r="O2837"/>
      <c r="P2837"/>
      <c r="Q2837"/>
      <c r="AA2837" s="38">
        <f>I2837</f>
        <v>36752.400000000001</v>
      </c>
    </row>
    <row r="2838" spans="1:43" x14ac:dyDescent="0.2">
      <c r="M2838"/>
      <c r="N2838"/>
      <c r="O2838"/>
      <c r="P2838"/>
      <c r="Q2838"/>
    </row>
    <row r="2839" spans="1:43" ht="30" x14ac:dyDescent="0.25">
      <c r="A2839" s="42" t="str">
        <f>CONCATENATE("Итого по разделу: ",IF([1]Source!G2804&lt;&gt;"Новый раздел", [1]Source!G2804, ""))</f>
        <v>Итого по разделу: Содержание садово-парковых дорожных покрытий из гравийной крошки с разным уровнем уклона поверхности( S=615 м2)</v>
      </c>
      <c r="B2839" s="42"/>
      <c r="C2839" s="42"/>
      <c r="D2839" s="42"/>
      <c r="E2839" s="42"/>
      <c r="F2839" s="42"/>
      <c r="G2839" s="42"/>
      <c r="H2839" s="42"/>
      <c r="I2839" s="43">
        <f>SUM(AA2811:AA2838)</f>
        <v>916234.04000000015</v>
      </c>
      <c r="J2839" s="44"/>
      <c r="K2839" s="47"/>
      <c r="L2839" s="38">
        <f>I2839</f>
        <v>916234.04000000015</v>
      </c>
      <c r="M2839" s="2">
        <f>ROUND(I2839*$I$4874,2)</f>
        <v>661710.5</v>
      </c>
      <c r="N2839" s="2">
        <f>ROUND(M2839*1.2/105*100,2)</f>
        <v>756240.57</v>
      </c>
      <c r="O2839" s="2">
        <f>ROUND(N2839*0.05,2)</f>
        <v>37812.03</v>
      </c>
      <c r="P2839" s="2">
        <f>N2839+O2839</f>
        <v>794052.6</v>
      </c>
      <c r="Q2839" s="3">
        <v>79</v>
      </c>
      <c r="R2839">
        <v>2</v>
      </c>
      <c r="S2839" s="2">
        <v>0</v>
      </c>
      <c r="AQ2839" s="46" t="str">
        <f>CONCATENATE("Итого по разделу: ",IF([1]Source!G2804&lt;&gt;"Новый раздел", [1]Source!G2804, ""))</f>
        <v>Итого по разделу: Содержание садово-парковых дорожных покрытий из гравийной крошки с разным уровнем уклона поверхности( S=615 м2)</v>
      </c>
    </row>
    <row r="2840" spans="1:43" x14ac:dyDescent="0.2">
      <c r="M2840"/>
      <c r="N2840"/>
      <c r="O2840"/>
      <c r="P2840"/>
      <c r="Q2840"/>
    </row>
    <row r="2841" spans="1:43" x14ac:dyDescent="0.2">
      <c r="M2841"/>
      <c r="N2841"/>
      <c r="O2841"/>
      <c r="P2841"/>
      <c r="Q2841"/>
    </row>
    <row r="2842" spans="1:43" ht="16.5" x14ac:dyDescent="0.25">
      <c r="A2842" s="29" t="str">
        <f>CONCATENATE("Раздел: ",IF([1]Source!G2834&lt;&gt;"Новый раздел", [1]Source!G2834, ""))</f>
        <v>Раздел: Содержание эвакуационных выходов</v>
      </c>
      <c r="B2842" s="29"/>
      <c r="C2842" s="29"/>
      <c r="D2842" s="29"/>
      <c r="E2842" s="29"/>
      <c r="F2842" s="29"/>
      <c r="G2842" s="29"/>
      <c r="H2842" s="29"/>
      <c r="I2842" s="29"/>
      <c r="J2842" s="29"/>
      <c r="K2842" s="29"/>
      <c r="M2842"/>
      <c r="N2842"/>
      <c r="O2842"/>
      <c r="P2842"/>
      <c r="Q2842"/>
    </row>
    <row r="2843" spans="1:43" ht="42.75" x14ac:dyDescent="0.2">
      <c r="A2843" s="31">
        <v>377</v>
      </c>
      <c r="B2843" s="31" t="str">
        <f>[1]Source!F2838</f>
        <v>5.3-1101-13-1/1</v>
      </c>
      <c r="C2843" s="31" t="str">
        <f>[1]Source!G2838</f>
        <v>Подметание вручную дорожек и площадок с твердым покрытием( подметание лестницы )</v>
      </c>
      <c r="D2843" s="32" t="str">
        <f>[1]Source!H2838</f>
        <v>100 м2</v>
      </c>
      <c r="E2843" s="4">
        <f>[1]Source!I2838</f>
        <v>1.9650000000000001</v>
      </c>
      <c r="F2843" s="33"/>
      <c r="G2843" s="34"/>
      <c r="H2843" s="4"/>
      <c r="I2843" s="4"/>
      <c r="J2843" s="33"/>
      <c r="K2843" s="33"/>
      <c r="M2843"/>
      <c r="N2843"/>
      <c r="O2843"/>
      <c r="P2843"/>
      <c r="Q2843"/>
      <c r="AB2843">
        <f>ROUND(([1]Source!BZ2838/100)*ROUND(([1]Source!AF2838*[1]Source!AV2838)*[1]Source!I2838, 2), 2)</f>
        <v>38003.910000000003</v>
      </c>
      <c r="AC2843">
        <f>[1]Source!X2838</f>
        <v>38003.910000000003</v>
      </c>
      <c r="AD2843">
        <f>ROUND(([1]Source!CA2838/100)*ROUND(([1]Source!AF2838*[1]Source!AV2838)*[1]Source!I2838, 2), 2)</f>
        <v>5429.13</v>
      </c>
      <c r="AE2843">
        <f>[1]Source!Y2838</f>
        <v>5429.13</v>
      </c>
      <c r="AF2843">
        <f>ROUND((175/100)*ROUND(([1]Source!AE2838*[1]Source!AV2838)*[1]Source!I2838, 2), 2)</f>
        <v>0</v>
      </c>
      <c r="AG2843">
        <f>ROUND((108/100)*ROUND([1]Source!CS2838*[1]Source!I2838, 2), 2)</f>
        <v>0</v>
      </c>
    </row>
    <row r="2844" spans="1:43" x14ac:dyDescent="0.2">
      <c r="C2844" s="40" t="str">
        <f>"Объем: "&amp;[1]Source!I2838&amp;"=196,5/"&amp;"100"</f>
        <v>Объем: 1,965=196,5/100</v>
      </c>
      <c r="M2844"/>
      <c r="N2844"/>
      <c r="O2844"/>
      <c r="P2844"/>
      <c r="Q2844"/>
    </row>
    <row r="2845" spans="1:43" ht="14.25" x14ac:dyDescent="0.2">
      <c r="A2845" s="31"/>
      <c r="B2845" s="31"/>
      <c r="C2845" s="31" t="s">
        <v>34</v>
      </c>
      <c r="D2845" s="32"/>
      <c r="E2845" s="4"/>
      <c r="F2845" s="33">
        <f>[1]Source!AO2838</f>
        <v>34.71</v>
      </c>
      <c r="G2845" s="34" t="str">
        <f>[1]Source!DG2838</f>
        <v>)*2*398</v>
      </c>
      <c r="H2845" s="4">
        <f>[1]Source!AV2838</f>
        <v>1</v>
      </c>
      <c r="I2845" s="4">
        <f>IF([1]Source!BA2838&lt;&gt; 0, [1]Source!BA2838, 1)</f>
        <v>1</v>
      </c>
      <c r="J2845" s="33">
        <f>[1]Source!S2838</f>
        <v>54291.3</v>
      </c>
      <c r="K2845" s="33"/>
      <c r="M2845"/>
      <c r="N2845"/>
      <c r="O2845"/>
      <c r="P2845"/>
      <c r="Q2845"/>
    </row>
    <row r="2846" spans="1:43" ht="14.25" x14ac:dyDescent="0.2">
      <c r="A2846" s="31"/>
      <c r="B2846" s="31"/>
      <c r="C2846" s="31" t="s">
        <v>40</v>
      </c>
      <c r="D2846" s="32" t="s">
        <v>39</v>
      </c>
      <c r="E2846" s="4">
        <f>[1]Source!AT2838</f>
        <v>70</v>
      </c>
      <c r="F2846" s="33"/>
      <c r="G2846" s="34"/>
      <c r="H2846" s="4"/>
      <c r="I2846" s="4"/>
      <c r="J2846" s="33">
        <f>SUM(AC2843:AC2845)</f>
        <v>38003.910000000003</v>
      </c>
      <c r="K2846" s="33"/>
      <c r="M2846"/>
      <c r="N2846"/>
      <c r="O2846"/>
      <c r="P2846"/>
      <c r="Q2846"/>
    </row>
    <row r="2847" spans="1:43" ht="14.25" x14ac:dyDescent="0.2">
      <c r="A2847" s="31"/>
      <c r="B2847" s="31"/>
      <c r="C2847" s="31" t="s">
        <v>41</v>
      </c>
      <c r="D2847" s="32" t="s">
        <v>39</v>
      </c>
      <c r="E2847" s="4">
        <f>[1]Source!AU2838</f>
        <v>10</v>
      </c>
      <c r="F2847" s="33"/>
      <c r="G2847" s="34"/>
      <c r="H2847" s="4"/>
      <c r="I2847" s="4"/>
      <c r="J2847" s="33">
        <f>SUM(AE2843:AE2846)</f>
        <v>5429.13</v>
      </c>
      <c r="K2847" s="33"/>
      <c r="M2847"/>
      <c r="N2847"/>
      <c r="O2847"/>
      <c r="P2847"/>
      <c r="Q2847"/>
    </row>
    <row r="2848" spans="1:43" ht="14.25" x14ac:dyDescent="0.2">
      <c r="A2848" s="31"/>
      <c r="B2848" s="31"/>
      <c r="C2848" s="31" t="s">
        <v>42</v>
      </c>
      <c r="D2848" s="32" t="s">
        <v>43</v>
      </c>
      <c r="E2848" s="4">
        <f>[1]Source!AQ2838</f>
        <v>0.14000000000000001</v>
      </c>
      <c r="F2848" s="33"/>
      <c r="G2848" s="34" t="str">
        <f>[1]Source!DI2838</f>
        <v>)*2*398</v>
      </c>
      <c r="H2848" s="4">
        <f>[1]Source!AV2838</f>
        <v>1</v>
      </c>
      <c r="I2848" s="4"/>
      <c r="J2848" s="33"/>
      <c r="K2848" s="33">
        <f>[1]Source!U2838</f>
        <v>218.97960000000003</v>
      </c>
      <c r="M2848"/>
      <c r="N2848"/>
      <c r="O2848"/>
      <c r="P2848"/>
      <c r="Q2848"/>
    </row>
    <row r="2849" spans="1:42" ht="15" x14ac:dyDescent="0.25">
      <c r="A2849" s="35"/>
      <c r="B2849" s="35"/>
      <c r="C2849" s="35"/>
      <c r="D2849" s="35"/>
      <c r="E2849" s="35"/>
      <c r="F2849" s="35"/>
      <c r="G2849" s="35"/>
      <c r="H2849" s="35"/>
      <c r="I2849" s="36">
        <f>J2845+J2846+J2847</f>
        <v>97724.340000000011</v>
      </c>
      <c r="J2849" s="36"/>
      <c r="K2849" s="37">
        <f>IF([1]Source!I2838&lt;&gt;0, ROUND(I2849/[1]Source!I2838, 2), 0)</f>
        <v>49732.49</v>
      </c>
      <c r="M2849"/>
      <c r="N2849"/>
      <c r="O2849"/>
      <c r="P2849"/>
      <c r="Q2849"/>
      <c r="AA2849" s="38">
        <f>I2849</f>
        <v>97724.340000000011</v>
      </c>
    </row>
    <row r="2850" spans="1:42" ht="28.5" x14ac:dyDescent="0.2">
      <c r="A2850" s="31">
        <v>378</v>
      </c>
      <c r="B2850" s="31" t="str">
        <f>[1]Source!F2839</f>
        <v>5.3-1101-14-1/1</v>
      </c>
      <c r="C2850" s="31" t="str">
        <f>[1]Source!G2839</f>
        <v>Полив дорожек из шланга вручную( мытье лестницы)</v>
      </c>
      <c r="D2850" s="32" t="str">
        <f>[1]Source!H2839</f>
        <v>100 м2</v>
      </c>
      <c r="E2850" s="4">
        <f>[1]Source!I2839</f>
        <v>1.9650000000000001</v>
      </c>
      <c r="F2850" s="33"/>
      <c r="G2850" s="34"/>
      <c r="H2850" s="4"/>
      <c r="I2850" s="4"/>
      <c r="J2850" s="33"/>
      <c r="K2850" s="33"/>
      <c r="M2850"/>
      <c r="N2850"/>
      <c r="O2850"/>
      <c r="P2850"/>
      <c r="Q2850"/>
      <c r="AB2850">
        <f>ROUND(([1]Source!BZ2839/100)*ROUND(([1]Source!AF2839*[1]Source!AV2839)*[1]Source!I2839, 2), 2)</f>
        <v>2571.2800000000002</v>
      </c>
      <c r="AC2850">
        <f>[1]Source!X2839</f>
        <v>2571.2800000000002</v>
      </c>
      <c r="AD2850">
        <f>ROUND(([1]Source!CA2839/100)*ROUND(([1]Source!AF2839*[1]Source!AV2839)*[1]Source!I2839, 2), 2)</f>
        <v>367.33</v>
      </c>
      <c r="AE2850">
        <f>[1]Source!Y2839</f>
        <v>367.33</v>
      </c>
      <c r="AF2850">
        <f>ROUND((175/100)*ROUND(([1]Source!AE2839*[1]Source!AV2839)*[1]Source!I2839, 2), 2)</f>
        <v>0</v>
      </c>
      <c r="AG2850">
        <f>ROUND((108/100)*ROUND([1]Source!CS2839*[1]Source!I2839, 2), 2)</f>
        <v>0</v>
      </c>
    </row>
    <row r="2851" spans="1:42" x14ac:dyDescent="0.2">
      <c r="C2851" s="40" t="str">
        <f>"Объем: "&amp;[1]Source!I2839&amp;"=196,5/"&amp;"100"</f>
        <v>Объем: 1,965=196,5/100</v>
      </c>
      <c r="M2851"/>
      <c r="N2851"/>
      <c r="O2851"/>
      <c r="P2851"/>
      <c r="Q2851"/>
    </row>
    <row r="2852" spans="1:42" ht="14.25" x14ac:dyDescent="0.2">
      <c r="A2852" s="31"/>
      <c r="B2852" s="31"/>
      <c r="C2852" s="31" t="s">
        <v>34</v>
      </c>
      <c r="D2852" s="32"/>
      <c r="E2852" s="4"/>
      <c r="F2852" s="33">
        <f>[1]Source!AO2839</f>
        <v>32.229999999999997</v>
      </c>
      <c r="G2852" s="34" t="str">
        <f>[1]Source!DG2839</f>
        <v>)*1*58</v>
      </c>
      <c r="H2852" s="4">
        <f>[1]Source!AV2839</f>
        <v>1</v>
      </c>
      <c r="I2852" s="4">
        <f>IF([1]Source!BA2839&lt;&gt; 0, [1]Source!BA2839, 1)</f>
        <v>1</v>
      </c>
      <c r="J2852" s="33">
        <f>[1]Source!S2839</f>
        <v>3673.25</v>
      </c>
      <c r="K2852" s="33"/>
      <c r="M2852"/>
      <c r="N2852"/>
      <c r="O2852"/>
      <c r="P2852"/>
      <c r="Q2852"/>
    </row>
    <row r="2853" spans="1:42" ht="14.25" x14ac:dyDescent="0.2">
      <c r="A2853" s="31"/>
      <c r="B2853" s="31"/>
      <c r="C2853" s="31" t="s">
        <v>47</v>
      </c>
      <c r="D2853" s="32"/>
      <c r="E2853" s="4"/>
      <c r="F2853" s="33">
        <f>[1]Source!AL2839</f>
        <v>4.24</v>
      </c>
      <c r="G2853" s="34" t="str">
        <f>[1]Source!DD2839</f>
        <v>)*1*58</v>
      </c>
      <c r="H2853" s="4">
        <f>[1]Source!AW2839</f>
        <v>1</v>
      </c>
      <c r="I2853" s="4">
        <f>IF([1]Source!BC2839&lt;&gt; 0, [1]Source!BC2839, 1)</f>
        <v>1</v>
      </c>
      <c r="J2853" s="33">
        <f>[1]Source!P2839</f>
        <v>483.23</v>
      </c>
      <c r="K2853" s="33"/>
      <c r="M2853"/>
      <c r="N2853"/>
      <c r="O2853"/>
      <c r="P2853"/>
      <c r="Q2853"/>
    </row>
    <row r="2854" spans="1:42" ht="14.25" x14ac:dyDescent="0.2">
      <c r="A2854" s="31" t="s">
        <v>120</v>
      </c>
      <c r="B2854" s="31" t="str">
        <f>[1]Source!F2840</f>
        <v>21.1-25-13</v>
      </c>
      <c r="C2854" s="31" t="str">
        <f>[1]Source!G2840</f>
        <v>Вода</v>
      </c>
      <c r="D2854" s="32" t="str">
        <f>[1]Source!H2840</f>
        <v>м3</v>
      </c>
      <c r="E2854" s="4">
        <f>[1]Source!I2840</f>
        <v>-11.397</v>
      </c>
      <c r="F2854" s="33">
        <f>[1]Source!AK2840</f>
        <v>42.44</v>
      </c>
      <c r="G2854" s="39" t="s">
        <v>121</v>
      </c>
      <c r="H2854" s="4">
        <f>[1]Source!AW2840</f>
        <v>1</v>
      </c>
      <c r="I2854" s="4">
        <f>IF([1]Source!BC2840&lt;&gt; 0, [1]Source!BC2840, 1)</f>
        <v>1</v>
      </c>
      <c r="J2854" s="33">
        <f>[1]Source!O2840</f>
        <v>-483.69</v>
      </c>
      <c r="K2854" s="33"/>
      <c r="M2854"/>
      <c r="N2854"/>
      <c r="O2854"/>
      <c r="P2854"/>
      <c r="Q2854"/>
      <c r="AB2854">
        <f>ROUND(([1]Source!BZ2840/100)*ROUND(([1]Source!AF2840*[1]Source!AV2840)*[1]Source!I2840, 2), 2)</f>
        <v>0</v>
      </c>
      <c r="AC2854">
        <f>[1]Source!X2840</f>
        <v>0</v>
      </c>
      <c r="AD2854">
        <f>ROUND(([1]Source!CA2840/100)*ROUND(([1]Source!AF2840*[1]Source!AV2840)*[1]Source!I2840, 2), 2)</f>
        <v>0</v>
      </c>
      <c r="AE2854">
        <f>[1]Source!Y2840</f>
        <v>0</v>
      </c>
      <c r="AF2854">
        <f>ROUND((175/100)*ROUND(([1]Source!AE2840*[1]Source!AV2840)*[1]Source!I2840, 2), 2)</f>
        <v>0</v>
      </c>
      <c r="AG2854">
        <f>ROUND((108/100)*ROUND([1]Source!CS2840*[1]Source!I2840, 2), 2)</f>
        <v>0</v>
      </c>
    </row>
    <row r="2855" spans="1:42" ht="14.25" x14ac:dyDescent="0.2">
      <c r="A2855" s="31"/>
      <c r="B2855" s="31"/>
      <c r="C2855" s="31" t="s">
        <v>40</v>
      </c>
      <c r="D2855" s="32" t="s">
        <v>39</v>
      </c>
      <c r="E2855" s="4">
        <f>[1]Source!AT2839</f>
        <v>70</v>
      </c>
      <c r="F2855" s="33"/>
      <c r="G2855" s="34"/>
      <c r="H2855" s="4"/>
      <c r="I2855" s="4"/>
      <c r="J2855" s="33">
        <f>SUM(AC2850:AC2854)</f>
        <v>2571.2800000000002</v>
      </c>
      <c r="K2855" s="33"/>
      <c r="M2855"/>
      <c r="N2855"/>
      <c r="O2855"/>
      <c r="P2855"/>
      <c r="Q2855"/>
    </row>
    <row r="2856" spans="1:42" ht="14.25" x14ac:dyDescent="0.2">
      <c r="A2856" s="31"/>
      <c r="B2856" s="31"/>
      <c r="C2856" s="31" t="s">
        <v>41</v>
      </c>
      <c r="D2856" s="32" t="s">
        <v>39</v>
      </c>
      <c r="E2856" s="4">
        <f>[1]Source!AU2839</f>
        <v>10</v>
      </c>
      <c r="F2856" s="33"/>
      <c r="G2856" s="34"/>
      <c r="H2856" s="4"/>
      <c r="I2856" s="4"/>
      <c r="J2856" s="33">
        <f>SUM(AE2850:AE2855)</f>
        <v>367.33</v>
      </c>
      <c r="K2856" s="33"/>
      <c r="M2856"/>
      <c r="N2856"/>
      <c r="O2856"/>
      <c r="P2856"/>
      <c r="Q2856"/>
    </row>
    <row r="2857" spans="1:42" ht="14.25" x14ac:dyDescent="0.2">
      <c r="A2857" s="31"/>
      <c r="B2857" s="31"/>
      <c r="C2857" s="31" t="s">
        <v>42</v>
      </c>
      <c r="D2857" s="32" t="s">
        <v>43</v>
      </c>
      <c r="E2857" s="4">
        <f>[1]Source!AQ2839</f>
        <v>0.13</v>
      </c>
      <c r="F2857" s="33"/>
      <c r="G2857" s="34" t="str">
        <f>[1]Source!DI2839</f>
        <v>)*1*58</v>
      </c>
      <c r="H2857" s="4">
        <f>[1]Source!AV2839</f>
        <v>1</v>
      </c>
      <c r="I2857" s="4"/>
      <c r="J2857" s="33"/>
      <c r="K2857" s="33">
        <f>[1]Source!U2839</f>
        <v>14.8161</v>
      </c>
      <c r="M2857"/>
      <c r="N2857"/>
      <c r="O2857"/>
      <c r="P2857"/>
      <c r="Q2857"/>
    </row>
    <row r="2858" spans="1:42" ht="15" x14ac:dyDescent="0.25">
      <c r="A2858" s="35"/>
      <c r="B2858" s="35"/>
      <c r="C2858" s="35"/>
      <c r="D2858" s="35"/>
      <c r="E2858" s="35"/>
      <c r="F2858" s="35"/>
      <c r="G2858" s="35"/>
      <c r="H2858" s="35"/>
      <c r="I2858" s="36">
        <f>J2852+J2853+J2855+J2856+SUM(J2854:J2854)</f>
        <v>6611.4000000000005</v>
      </c>
      <c r="J2858" s="36"/>
      <c r="K2858" s="37">
        <f>IF([1]Source!I2839&lt;&gt;0, ROUND(I2858/[1]Source!I2839, 2), 0)</f>
        <v>3364.58</v>
      </c>
      <c r="M2858"/>
      <c r="N2858"/>
      <c r="O2858"/>
      <c r="P2858"/>
      <c r="Q2858"/>
      <c r="AA2858" s="38">
        <f>I2858</f>
        <v>6611.4000000000005</v>
      </c>
    </row>
    <row r="2859" spans="1:42" x14ac:dyDescent="0.2">
      <c r="M2859"/>
      <c r="N2859"/>
      <c r="O2859"/>
      <c r="P2859"/>
      <c r="Q2859"/>
    </row>
    <row r="2860" spans="1:42" ht="15" x14ac:dyDescent="0.25">
      <c r="A2860" s="42" t="str">
        <f>CONCATENATE("Итого по разделу: ",IF([1]Source!G2842&lt;&gt;"Новый раздел", [1]Source!G2842, ""))</f>
        <v>Итого по разделу: Содержание эвакуационных выходов</v>
      </c>
      <c r="B2860" s="42"/>
      <c r="C2860" s="42"/>
      <c r="D2860" s="42"/>
      <c r="E2860" s="42"/>
      <c r="F2860" s="42"/>
      <c r="G2860" s="42"/>
      <c r="H2860" s="42"/>
      <c r="I2860" s="43">
        <f>SUM(AA2842:AA2859)</f>
        <v>104335.74</v>
      </c>
      <c r="J2860" s="44"/>
      <c r="K2860" s="47"/>
      <c r="L2860" s="38">
        <f>I2860</f>
        <v>104335.74</v>
      </c>
      <c r="M2860" s="2">
        <f>ROUND(I2860*$I$4874,2)</f>
        <v>75351.990000000005</v>
      </c>
      <c r="N2860" s="2">
        <f>ROUND(M2860*1.2/105*100,2)</f>
        <v>86116.56</v>
      </c>
      <c r="O2860" s="2">
        <f>ROUND(N2860*0.05,2)</f>
        <v>4305.83</v>
      </c>
      <c r="P2860" s="2">
        <f>N2860+O2860</f>
        <v>90422.39</v>
      </c>
      <c r="Q2860" s="3">
        <v>80</v>
      </c>
      <c r="R2860">
        <v>2</v>
      </c>
      <c r="S2860" s="2">
        <v>0</v>
      </c>
    </row>
    <row r="2861" spans="1:42" x14ac:dyDescent="0.2">
      <c r="M2861"/>
      <c r="N2861"/>
      <c r="O2861"/>
      <c r="P2861"/>
      <c r="Q2861"/>
    </row>
    <row r="2862" spans="1:42" x14ac:dyDescent="0.2">
      <c r="M2862"/>
      <c r="N2862"/>
      <c r="O2862"/>
      <c r="P2862"/>
      <c r="Q2862"/>
    </row>
    <row r="2863" spans="1:42" ht="33" x14ac:dyDescent="0.25">
      <c r="A2863" s="29" t="str">
        <f>CONCATENATE("Раздел: ",IF([1]Source!G2872&lt;&gt;"Новый раздел", [1]Source!G2872, ""))</f>
        <v>Раздел: Северный тоннель ( S= 1534,28 м2, в т.ч. : покрытия напольные гранитные-1258,33 м2,  площадки гранитные--147,5 м2, ступени гранитные-26,95 м2,, пандус-70,0 м2, парапет-31,5 м2 )</v>
      </c>
      <c r="B2863" s="29"/>
      <c r="C2863" s="29"/>
      <c r="D2863" s="29"/>
      <c r="E2863" s="29"/>
      <c r="F2863" s="29"/>
      <c r="G2863" s="29"/>
      <c r="H2863" s="29"/>
      <c r="I2863" s="29"/>
      <c r="J2863" s="29"/>
      <c r="K2863" s="29"/>
      <c r="M2863"/>
      <c r="N2863"/>
      <c r="O2863"/>
      <c r="P2863"/>
      <c r="Q2863"/>
      <c r="AP2863" s="30" t="str">
        <f>CONCATENATE("Раздел: ",IF([1]Source!G2872&lt;&gt;"Новый раздел", [1]Source!G2872, ""))</f>
        <v>Раздел: Северный тоннель ( S= 1534,28 м2, в т.ч. : покрытия напольные гранитные-1258,33 м2,  площадки гранитные--147,5 м2, ступени гранитные-26,95 м2,, пандус-70,0 м2, парапет-31,5 м2 )</v>
      </c>
    </row>
    <row r="2864" spans="1:42" x14ac:dyDescent="0.2">
      <c r="M2864"/>
      <c r="N2864"/>
      <c r="O2864"/>
      <c r="P2864"/>
      <c r="Q2864"/>
    </row>
    <row r="2865" spans="1:33" ht="16.5" x14ac:dyDescent="0.25">
      <c r="A2865" s="29" t="str">
        <f>CONCATENATE("Подраздел: ",IF([1]Source!G2876&lt;&gt;"Новый подраздел", [1]Source!G2876, ""))</f>
        <v>Подраздел: Уход за напольными покрытиями ( S= 1258,33 м2 )</v>
      </c>
      <c r="B2865" s="29"/>
      <c r="C2865" s="29"/>
      <c r="D2865" s="29"/>
      <c r="E2865" s="29"/>
      <c r="F2865" s="29"/>
      <c r="G2865" s="29"/>
      <c r="H2865" s="29"/>
      <c r="I2865" s="29"/>
      <c r="J2865" s="29"/>
      <c r="K2865" s="29"/>
      <c r="M2865"/>
      <c r="N2865"/>
      <c r="O2865"/>
      <c r="P2865"/>
      <c r="Q2865"/>
    </row>
    <row r="2866" spans="1:33" ht="42.75" x14ac:dyDescent="0.2">
      <c r="A2866" s="31">
        <v>379</v>
      </c>
      <c r="B2866" s="31" t="str">
        <f>[1]Source!F2880</f>
        <v>5.3-1101-15-1/1</v>
      </c>
      <c r="C2866" s="31" t="str">
        <f>[1]Source!G2880</f>
        <v>Подметание тротуаров, придомовых и внутрибольничных проездов средствами малой механизации</v>
      </c>
      <c r="D2866" s="32" t="str">
        <f>[1]Source!H2880</f>
        <v>1000 м2</v>
      </c>
      <c r="E2866" s="4">
        <f>[1]Source!I2880</f>
        <v>1.2583299999999999</v>
      </c>
      <c r="F2866" s="33"/>
      <c r="G2866" s="34"/>
      <c r="H2866" s="4"/>
      <c r="I2866" s="4"/>
      <c r="J2866" s="33"/>
      <c r="K2866" s="33"/>
      <c r="M2866"/>
      <c r="N2866"/>
      <c r="O2866"/>
      <c r="P2866"/>
      <c r="Q2866"/>
      <c r="AB2866">
        <f>ROUND(([1]Source!BZ2880/100)*ROUND(([1]Source!AF2880*[1]Source!AV2880)*[1]Source!I2880, 2), 2)</f>
        <v>0</v>
      </c>
      <c r="AC2866">
        <f>[1]Source!X2880</f>
        <v>0</v>
      </c>
      <c r="AD2866">
        <f>ROUND(([1]Source!CA2880/100)*ROUND(([1]Source!AF2880*[1]Source!AV2880)*[1]Source!I2880, 2), 2)</f>
        <v>0</v>
      </c>
      <c r="AE2866">
        <f>[1]Source!Y2880</f>
        <v>0</v>
      </c>
      <c r="AF2866">
        <f>ROUND((175/100)*ROUND(([1]Source!AE2880*[1]Source!AV2880)*[1]Source!I2880, 2), 2)</f>
        <v>208256.55</v>
      </c>
      <c r="AG2866">
        <f>ROUND((108/100)*ROUND([1]Source!CS2880*[1]Source!I2880, 2), 2)</f>
        <v>128524.04</v>
      </c>
    </row>
    <row r="2867" spans="1:33" x14ac:dyDescent="0.2">
      <c r="C2867" s="40" t="str">
        <f>"Объем: "&amp;[1]Source!I2880&amp;"=1258,33/"&amp;"1000"</f>
        <v>Объем: 1,25833=1258,33/1000</v>
      </c>
      <c r="M2867"/>
      <c r="N2867"/>
      <c r="O2867"/>
      <c r="P2867"/>
      <c r="Q2867"/>
    </row>
    <row r="2868" spans="1:33" ht="14.25" x14ac:dyDescent="0.2">
      <c r="A2868" s="31"/>
      <c r="B2868" s="31"/>
      <c r="C2868" s="31" t="s">
        <v>33</v>
      </c>
      <c r="D2868" s="32"/>
      <c r="E2868" s="4"/>
      <c r="F2868" s="33">
        <f>[1]Source!AM2880</f>
        <v>290.76</v>
      </c>
      <c r="G2868" s="34" t="str">
        <f>[1]Source!DE2880</f>
        <v>)*2*398</v>
      </c>
      <c r="H2868" s="4">
        <f>[1]Source!AV2880</f>
        <v>1</v>
      </c>
      <c r="I2868" s="4">
        <f>IF([1]Source!BB2880&lt;&gt; 0, [1]Source!BB2880, 1)</f>
        <v>1</v>
      </c>
      <c r="J2868" s="33">
        <f>[1]Source!Q2880</f>
        <v>291234.14</v>
      </c>
      <c r="K2868" s="33"/>
      <c r="M2868"/>
      <c r="N2868"/>
      <c r="O2868"/>
      <c r="P2868"/>
      <c r="Q2868"/>
    </row>
    <row r="2869" spans="1:33" ht="14.25" x14ac:dyDescent="0.2">
      <c r="A2869" s="31"/>
      <c r="B2869" s="31"/>
      <c r="C2869" s="31" t="s">
        <v>37</v>
      </c>
      <c r="D2869" s="32"/>
      <c r="E2869" s="4"/>
      <c r="F2869" s="33">
        <f>[1]Source!AN2880</f>
        <v>118.81</v>
      </c>
      <c r="G2869" s="34" t="str">
        <f>[1]Source!DF2880</f>
        <v>)*2*398</v>
      </c>
      <c r="H2869" s="4">
        <f>[1]Source!AV2880</f>
        <v>1</v>
      </c>
      <c r="I2869" s="4">
        <f>IF([1]Source!BS2880&lt;&gt; 0, [1]Source!BS2880, 1)</f>
        <v>1</v>
      </c>
      <c r="J2869" s="41">
        <f>[1]Source!R2880</f>
        <v>119003.74</v>
      </c>
      <c r="K2869" s="33"/>
      <c r="M2869"/>
      <c r="N2869"/>
      <c r="O2869"/>
      <c r="P2869"/>
      <c r="Q2869"/>
    </row>
    <row r="2870" spans="1:33" ht="14.25" x14ac:dyDescent="0.2">
      <c r="A2870" s="31"/>
      <c r="B2870" s="31"/>
      <c r="C2870" s="31" t="s">
        <v>47</v>
      </c>
      <c r="D2870" s="32"/>
      <c r="E2870" s="4"/>
      <c r="F2870" s="33">
        <f>[1]Source!AL2880</f>
        <v>8.49</v>
      </c>
      <c r="G2870" s="34" t="str">
        <f>[1]Source!DD2880</f>
        <v>)*2*398</v>
      </c>
      <c r="H2870" s="4">
        <f>[1]Source!AW2880</f>
        <v>1</v>
      </c>
      <c r="I2870" s="4">
        <f>IF([1]Source!BC2880&lt;&gt; 0, [1]Source!BC2880, 1)</f>
        <v>1</v>
      </c>
      <c r="J2870" s="33">
        <f>[1]Source!P2880</f>
        <v>8503.84</v>
      </c>
      <c r="K2870" s="33"/>
      <c r="M2870"/>
      <c r="N2870"/>
      <c r="O2870"/>
      <c r="P2870"/>
      <c r="Q2870"/>
    </row>
    <row r="2871" spans="1:33" ht="14.25" x14ac:dyDescent="0.2">
      <c r="A2871" s="31" t="s">
        <v>122</v>
      </c>
      <c r="B2871" s="31" t="str">
        <f>[1]Source!F2881</f>
        <v>21.1-25-13</v>
      </c>
      <c r="C2871" s="31" t="str">
        <f>[1]Source!G2881</f>
        <v>Вода</v>
      </c>
      <c r="D2871" s="32" t="str">
        <f>[1]Source!H2881</f>
        <v>м3</v>
      </c>
      <c r="E2871" s="4">
        <f>[1]Source!I2881</f>
        <v>-200.32613599999999</v>
      </c>
      <c r="F2871" s="33">
        <f>[1]Source!AK2881</f>
        <v>42.44</v>
      </c>
      <c r="G2871" s="39" t="s">
        <v>123</v>
      </c>
      <c r="H2871" s="4">
        <f>[1]Source!AW2881</f>
        <v>1</v>
      </c>
      <c r="I2871" s="4">
        <f>IF([1]Source!BC2881&lt;&gt; 0, [1]Source!BC2881, 1)</f>
        <v>1</v>
      </c>
      <c r="J2871" s="33">
        <f>[1]Source!O2881</f>
        <v>-8501.84</v>
      </c>
      <c r="K2871" s="33"/>
      <c r="M2871"/>
      <c r="N2871"/>
      <c r="O2871"/>
      <c r="P2871"/>
      <c r="Q2871"/>
      <c r="AB2871">
        <f>ROUND(([1]Source!BZ2881/100)*ROUND(([1]Source!AF2881*[1]Source!AV2881)*[1]Source!I2881, 2), 2)</f>
        <v>0</v>
      </c>
      <c r="AC2871">
        <f>[1]Source!X2881</f>
        <v>0</v>
      </c>
      <c r="AD2871">
        <f>ROUND(([1]Source!CA2881/100)*ROUND(([1]Source!AF2881*[1]Source!AV2881)*[1]Source!I2881, 2), 2)</f>
        <v>0</v>
      </c>
      <c r="AE2871">
        <f>[1]Source!Y2881</f>
        <v>0</v>
      </c>
      <c r="AF2871">
        <f>ROUND((175/100)*ROUND(([1]Source!AE2881*[1]Source!AV2881)*[1]Source!I2881, 2), 2)</f>
        <v>0</v>
      </c>
      <c r="AG2871">
        <f>ROUND((108/100)*ROUND([1]Source!CS2881*[1]Source!I2881, 2), 2)</f>
        <v>0</v>
      </c>
    </row>
    <row r="2872" spans="1:33" ht="14.25" x14ac:dyDescent="0.2">
      <c r="A2872" s="31"/>
      <c r="B2872" s="31"/>
      <c r="C2872" s="31" t="s">
        <v>38</v>
      </c>
      <c r="D2872" s="32" t="s">
        <v>39</v>
      </c>
      <c r="E2872" s="4">
        <f>108</f>
        <v>108</v>
      </c>
      <c r="F2872" s="33"/>
      <c r="G2872" s="34"/>
      <c r="H2872" s="4"/>
      <c r="I2872" s="4"/>
      <c r="J2872" s="33">
        <f>SUM(AG2866:AG2871)</f>
        <v>128524.04</v>
      </c>
      <c r="K2872" s="33"/>
      <c r="M2872"/>
      <c r="N2872"/>
      <c r="O2872"/>
      <c r="P2872"/>
      <c r="Q2872"/>
    </row>
    <row r="2873" spans="1:33" ht="15" x14ac:dyDescent="0.25">
      <c r="A2873" s="35"/>
      <c r="B2873" s="35"/>
      <c r="C2873" s="35"/>
      <c r="D2873" s="35"/>
      <c r="E2873" s="35"/>
      <c r="F2873" s="35"/>
      <c r="G2873" s="35"/>
      <c r="H2873" s="35"/>
      <c r="I2873" s="36">
        <f>J2868+J2870+J2872+SUM(J2871:J2871)</f>
        <v>419760.18</v>
      </c>
      <c r="J2873" s="36"/>
      <c r="K2873" s="37">
        <f>IF([1]Source!I2880&lt;&gt;0, ROUND(I2873/[1]Source!I2880, 2), 0)</f>
        <v>333585.13</v>
      </c>
      <c r="M2873"/>
      <c r="N2873"/>
      <c r="O2873"/>
      <c r="P2873"/>
      <c r="Q2873"/>
      <c r="AA2873" s="38">
        <f>I2873</f>
        <v>419760.18</v>
      </c>
    </row>
    <row r="2874" spans="1:33" ht="42.75" x14ac:dyDescent="0.2">
      <c r="A2874" s="31">
        <v>380</v>
      </c>
      <c r="B2874" s="31" t="str">
        <f>[1]Source!F2882</f>
        <v>5.3-1101-15-5/1</v>
      </c>
      <c r="C2874" s="31" t="str">
        <f>[1]Source!G2882</f>
        <v>Мытье тротуаров, придомовых и внутрибольничных проездов средствами малой механизации</v>
      </c>
      <c r="D2874" s="32" t="str">
        <f>[1]Source!H2882</f>
        <v>1000 м2</v>
      </c>
      <c r="E2874" s="4">
        <f>[1]Source!I2882</f>
        <v>1.2583299999999999</v>
      </c>
      <c r="F2874" s="33"/>
      <c r="G2874" s="34"/>
      <c r="H2874" s="4"/>
      <c r="I2874" s="4"/>
      <c r="J2874" s="33"/>
      <c r="K2874" s="33"/>
      <c r="M2874"/>
      <c r="N2874"/>
      <c r="O2874"/>
      <c r="P2874"/>
      <c r="Q2874"/>
      <c r="AB2874">
        <f>ROUND(([1]Source!BZ2882/100)*ROUND(([1]Source!AF2882*[1]Source!AV2882)*[1]Source!I2882, 2), 2)</f>
        <v>0</v>
      </c>
      <c r="AC2874">
        <f>[1]Source!X2882</f>
        <v>0</v>
      </c>
      <c r="AD2874">
        <f>ROUND(([1]Source!CA2882/100)*ROUND(([1]Source!AF2882*[1]Source!AV2882)*[1]Source!I2882, 2), 2)</f>
        <v>0</v>
      </c>
      <c r="AE2874">
        <f>[1]Source!Y2882</f>
        <v>0</v>
      </c>
      <c r="AF2874">
        <f>ROUND((175/100)*ROUND(([1]Source!AE2882*[1]Source!AV2882)*[1]Source!I2882, 2), 2)</f>
        <v>1328.25</v>
      </c>
      <c r="AG2874">
        <f>ROUND((108/100)*ROUND([1]Source!CS2882*[1]Source!I2882, 2), 2)</f>
        <v>819.72</v>
      </c>
    </row>
    <row r="2875" spans="1:33" x14ac:dyDescent="0.2">
      <c r="C2875" s="40" t="str">
        <f>"Объем: "&amp;[1]Source!I2882&amp;"=1258,33/"&amp;"1000"</f>
        <v>Объем: 1,25833=1258,33/1000</v>
      </c>
      <c r="M2875"/>
      <c r="N2875"/>
      <c r="O2875"/>
      <c r="P2875"/>
      <c r="Q2875"/>
    </row>
    <row r="2876" spans="1:33" ht="14.25" x14ac:dyDescent="0.2">
      <c r="A2876" s="31"/>
      <c r="B2876" s="31"/>
      <c r="C2876" s="31" t="s">
        <v>33</v>
      </c>
      <c r="D2876" s="32"/>
      <c r="E2876" s="4"/>
      <c r="F2876" s="33">
        <f>[1]Source!AM2882</f>
        <v>738.08</v>
      </c>
      <c r="G2876" s="34" t="str">
        <f>[1]Source!DE2882</f>
        <v>)*1*2</v>
      </c>
      <c r="H2876" s="4">
        <f>[1]Source!AV2882</f>
        <v>1</v>
      </c>
      <c r="I2876" s="4">
        <f>IF([1]Source!BB2882&lt;&gt; 0, [1]Source!BB2882, 1)</f>
        <v>1</v>
      </c>
      <c r="J2876" s="33">
        <f>[1]Source!Q2882</f>
        <v>1857.5</v>
      </c>
      <c r="K2876" s="33"/>
      <c r="M2876"/>
      <c r="N2876"/>
      <c r="O2876"/>
      <c r="P2876"/>
      <c r="Q2876"/>
    </row>
    <row r="2877" spans="1:33" ht="14.25" x14ac:dyDescent="0.2">
      <c r="A2877" s="31"/>
      <c r="B2877" s="31"/>
      <c r="C2877" s="31" t="s">
        <v>37</v>
      </c>
      <c r="D2877" s="32"/>
      <c r="E2877" s="4"/>
      <c r="F2877" s="33">
        <f>[1]Source!AN2882</f>
        <v>301.58999999999997</v>
      </c>
      <c r="G2877" s="34" t="str">
        <f>[1]Source!DF2882</f>
        <v>)*1*2</v>
      </c>
      <c r="H2877" s="4">
        <f>[1]Source!AV2882</f>
        <v>1</v>
      </c>
      <c r="I2877" s="4">
        <f>IF([1]Source!BS2882&lt;&gt; 0, [1]Source!BS2882, 1)</f>
        <v>1</v>
      </c>
      <c r="J2877" s="41">
        <f>[1]Source!R2882</f>
        <v>759</v>
      </c>
      <c r="K2877" s="33"/>
      <c r="M2877"/>
      <c r="N2877"/>
      <c r="O2877"/>
      <c r="P2877"/>
      <c r="Q2877"/>
    </row>
    <row r="2878" spans="1:33" ht="14.25" x14ac:dyDescent="0.2">
      <c r="A2878" s="31"/>
      <c r="B2878" s="31"/>
      <c r="C2878" s="31" t="s">
        <v>47</v>
      </c>
      <c r="D2878" s="32"/>
      <c r="E2878" s="4"/>
      <c r="F2878" s="33">
        <f>[1]Source!AL2882</f>
        <v>194.05</v>
      </c>
      <c r="G2878" s="34" t="str">
        <f>[1]Source!DD2882</f>
        <v>)*1*2</v>
      </c>
      <c r="H2878" s="4">
        <f>[1]Source!AW2882</f>
        <v>1</v>
      </c>
      <c r="I2878" s="4">
        <f>IF([1]Source!BC2882&lt;&gt; 0, [1]Source!BC2882, 1)</f>
        <v>1</v>
      </c>
      <c r="J2878" s="33">
        <f>[1]Source!P2882</f>
        <v>488.36</v>
      </c>
      <c r="K2878" s="33"/>
      <c r="M2878"/>
      <c r="N2878"/>
      <c r="O2878"/>
      <c r="P2878"/>
      <c r="Q2878"/>
    </row>
    <row r="2879" spans="1:33" ht="14.25" x14ac:dyDescent="0.2">
      <c r="A2879" s="31" t="s">
        <v>124</v>
      </c>
      <c r="B2879" s="31" t="str">
        <f>[1]Source!F2883</f>
        <v>21.1-25-13</v>
      </c>
      <c r="C2879" s="31" t="str">
        <f>[1]Source!G2883</f>
        <v>Вода</v>
      </c>
      <c r="D2879" s="32" t="str">
        <f>[1]Source!H2883</f>
        <v>м3</v>
      </c>
      <c r="E2879" s="4">
        <f>[1]Source!I2883</f>
        <v>-2.8186589999999998</v>
      </c>
      <c r="F2879" s="33">
        <f>[1]Source!AK2883</f>
        <v>42.44</v>
      </c>
      <c r="G2879" s="39" t="s">
        <v>102</v>
      </c>
      <c r="H2879" s="4">
        <f>[1]Source!AW2883</f>
        <v>1</v>
      </c>
      <c r="I2879" s="4">
        <f>IF([1]Source!BC2883&lt;&gt; 0, [1]Source!BC2883, 1)</f>
        <v>1</v>
      </c>
      <c r="J2879" s="33">
        <f>[1]Source!O2883</f>
        <v>-119.62</v>
      </c>
      <c r="K2879" s="33"/>
      <c r="M2879"/>
      <c r="N2879"/>
      <c r="O2879"/>
      <c r="P2879"/>
      <c r="Q2879"/>
      <c r="AB2879">
        <f>ROUND(([1]Source!BZ2883/100)*ROUND(([1]Source!AF2883*[1]Source!AV2883)*[1]Source!I2883, 2), 2)</f>
        <v>0</v>
      </c>
      <c r="AC2879">
        <f>[1]Source!X2883</f>
        <v>0</v>
      </c>
      <c r="AD2879">
        <f>ROUND(([1]Source!CA2883/100)*ROUND(([1]Source!AF2883*[1]Source!AV2883)*[1]Source!I2883, 2), 2)</f>
        <v>0</v>
      </c>
      <c r="AE2879">
        <f>[1]Source!Y2883</f>
        <v>0</v>
      </c>
      <c r="AF2879">
        <f>ROUND((175/100)*ROUND(([1]Source!AE2883*[1]Source!AV2883)*[1]Source!I2883, 2), 2)</f>
        <v>0</v>
      </c>
      <c r="AG2879">
        <f>ROUND((108/100)*ROUND([1]Source!CS2883*[1]Source!I2883, 2), 2)</f>
        <v>0</v>
      </c>
    </row>
    <row r="2880" spans="1:33" ht="14.25" x14ac:dyDescent="0.2">
      <c r="A2880" s="31"/>
      <c r="B2880" s="31"/>
      <c r="C2880" s="31" t="s">
        <v>38</v>
      </c>
      <c r="D2880" s="32" t="s">
        <v>39</v>
      </c>
      <c r="E2880" s="4">
        <f>108</f>
        <v>108</v>
      </c>
      <c r="F2880" s="33"/>
      <c r="G2880" s="34"/>
      <c r="H2880" s="4"/>
      <c r="I2880" s="4"/>
      <c r="J2880" s="33">
        <f>SUM(AG2874:AG2879)</f>
        <v>819.72</v>
      </c>
      <c r="K2880" s="33"/>
      <c r="M2880"/>
      <c r="N2880"/>
      <c r="O2880"/>
      <c r="P2880"/>
      <c r="Q2880"/>
    </row>
    <row r="2881" spans="1:33" ht="15" x14ac:dyDescent="0.25">
      <c r="A2881" s="35"/>
      <c r="B2881" s="35"/>
      <c r="C2881" s="35"/>
      <c r="D2881" s="35"/>
      <c r="E2881" s="35"/>
      <c r="F2881" s="35"/>
      <c r="G2881" s="35"/>
      <c r="H2881" s="35"/>
      <c r="I2881" s="36">
        <f>J2876+J2878+J2880+SUM(J2879:J2879)</f>
        <v>3045.96</v>
      </c>
      <c r="J2881" s="36"/>
      <c r="K2881" s="37">
        <f>IF([1]Source!I2882&lt;&gt;0, ROUND(I2881/[1]Source!I2882, 2), 0)</f>
        <v>2420.64</v>
      </c>
      <c r="M2881"/>
      <c r="N2881"/>
      <c r="O2881"/>
      <c r="P2881"/>
      <c r="Q2881"/>
      <c r="AA2881" s="38">
        <f>I2881</f>
        <v>3045.96</v>
      </c>
    </row>
    <row r="2882" spans="1:33" x14ac:dyDescent="0.2">
      <c r="M2882"/>
      <c r="N2882"/>
      <c r="O2882"/>
      <c r="P2882"/>
      <c r="Q2882"/>
    </row>
    <row r="2883" spans="1:33" ht="15" x14ac:dyDescent="0.25">
      <c r="A2883" s="42" t="str">
        <f>CONCATENATE("Итого по подразделу: ",IF([1]Source!G2885&lt;&gt;"Новый подраздел", [1]Source!G2885, ""))</f>
        <v>Итого по подразделу: Уход за напольными покрытиями ( S= 1258,33 м2 )</v>
      </c>
      <c r="B2883" s="42"/>
      <c r="C2883" s="42"/>
      <c r="D2883" s="42"/>
      <c r="E2883" s="42"/>
      <c r="F2883" s="42"/>
      <c r="G2883" s="42"/>
      <c r="H2883" s="42"/>
      <c r="I2883" s="43">
        <f>SUM(AA2865:AA2882)</f>
        <v>422806.14</v>
      </c>
      <c r="J2883" s="44"/>
      <c r="K2883" s="47"/>
      <c r="L2883" s="38">
        <f>I2883</f>
        <v>422806.14</v>
      </c>
      <c r="M2883" s="2">
        <f>ROUND(I2883*$I$4874,2)</f>
        <v>305353.49</v>
      </c>
      <c r="N2883" s="2">
        <f>ROUND(M2883*1.2/105*100,2)</f>
        <v>348975.42</v>
      </c>
      <c r="O2883" s="2">
        <f>ROUND(N2883*0.05,2)</f>
        <v>17448.77</v>
      </c>
      <c r="P2883" s="2">
        <f>N2883+O2883</f>
        <v>366424.19</v>
      </c>
      <c r="Q2883" s="3">
        <v>81</v>
      </c>
      <c r="S2883" s="2">
        <v>0</v>
      </c>
    </row>
    <row r="2884" spans="1:33" x14ac:dyDescent="0.2">
      <c r="M2884"/>
      <c r="N2884"/>
      <c r="O2884"/>
      <c r="P2884"/>
      <c r="Q2884"/>
    </row>
    <row r="2885" spans="1:33" x14ac:dyDescent="0.2">
      <c r="M2885"/>
      <c r="N2885"/>
      <c r="O2885"/>
      <c r="P2885"/>
      <c r="Q2885"/>
    </row>
    <row r="2886" spans="1:33" ht="16.5" x14ac:dyDescent="0.25">
      <c r="A2886" s="29" t="str">
        <f>CONCATENATE("Подраздел: ",IF([1]Source!G2915&lt;&gt;"Новый подраздел", [1]Source!G2915, ""))</f>
        <v>Подраздел: Уход за гранитной лестницей ( S= 244,45 м2)</v>
      </c>
      <c r="B2886" s="29"/>
      <c r="C2886" s="29"/>
      <c r="D2886" s="29"/>
      <c r="E2886" s="29"/>
      <c r="F2886" s="29"/>
      <c r="G2886" s="29"/>
      <c r="H2886" s="29"/>
      <c r="I2886" s="29"/>
      <c r="J2886" s="29"/>
      <c r="K2886" s="29"/>
      <c r="M2886"/>
      <c r="N2886"/>
      <c r="O2886"/>
      <c r="P2886"/>
      <c r="Q2886"/>
    </row>
    <row r="2887" spans="1:33" ht="28.5" x14ac:dyDescent="0.2">
      <c r="A2887" s="31">
        <v>381</v>
      </c>
      <c r="B2887" s="31" t="str">
        <f>[1]Source!F2919</f>
        <v>5.3-1101-13-1/1</v>
      </c>
      <c r="C2887" s="31" t="str">
        <f>[1]Source!G2919</f>
        <v>Подметание вручную дорожек и площадок с твердым покрытием</v>
      </c>
      <c r="D2887" s="32" t="str">
        <f>[1]Source!H2919</f>
        <v>100 м2</v>
      </c>
      <c r="E2887" s="4">
        <f>[1]Source!I2919</f>
        <v>2.4445000000000001</v>
      </c>
      <c r="F2887" s="33"/>
      <c r="G2887" s="34"/>
      <c r="H2887" s="4"/>
      <c r="I2887" s="4"/>
      <c r="J2887" s="33"/>
      <c r="K2887" s="33"/>
      <c r="M2887"/>
      <c r="N2887"/>
      <c r="O2887"/>
      <c r="P2887"/>
      <c r="Q2887"/>
      <c r="AB2887">
        <f>ROUND(([1]Source!BZ2919/100)*ROUND(([1]Source!AF2919*[1]Source!AV2919)*[1]Source!I2919, 2), 2)</f>
        <v>47277.64</v>
      </c>
      <c r="AC2887">
        <f>[1]Source!X2919</f>
        <v>47277.64</v>
      </c>
      <c r="AD2887">
        <f>ROUND(([1]Source!CA2919/100)*ROUND(([1]Source!AF2919*[1]Source!AV2919)*[1]Source!I2919, 2), 2)</f>
        <v>6753.95</v>
      </c>
      <c r="AE2887">
        <f>[1]Source!Y2919</f>
        <v>6753.95</v>
      </c>
      <c r="AF2887">
        <f>ROUND((175/100)*ROUND(([1]Source!AE2919*[1]Source!AV2919)*[1]Source!I2919, 2), 2)</f>
        <v>0</v>
      </c>
      <c r="AG2887">
        <f>ROUND((108/100)*ROUND([1]Source!CS2919*[1]Source!I2919, 2), 2)</f>
        <v>0</v>
      </c>
    </row>
    <row r="2888" spans="1:33" x14ac:dyDescent="0.2">
      <c r="C2888" s="40" t="str">
        <f>"Объем: "&amp;[1]Source!I2919&amp;"=244,45/"&amp;"100"</f>
        <v>Объем: 2,4445=244,45/100</v>
      </c>
      <c r="M2888"/>
      <c r="N2888"/>
      <c r="O2888"/>
      <c r="P2888"/>
      <c r="Q2888"/>
    </row>
    <row r="2889" spans="1:33" ht="14.25" x14ac:dyDescent="0.2">
      <c r="A2889" s="31"/>
      <c r="B2889" s="31"/>
      <c r="C2889" s="31" t="s">
        <v>34</v>
      </c>
      <c r="D2889" s="32"/>
      <c r="E2889" s="4"/>
      <c r="F2889" s="33">
        <f>[1]Source!AO2919</f>
        <v>34.71</v>
      </c>
      <c r="G2889" s="34" t="str">
        <f>[1]Source!DG2919</f>
        <v>)*2*398</v>
      </c>
      <c r="H2889" s="4">
        <f>[1]Source!AV2919</f>
        <v>1</v>
      </c>
      <c r="I2889" s="4">
        <f>IF([1]Source!BA2919&lt;&gt; 0, [1]Source!BA2919, 1)</f>
        <v>1</v>
      </c>
      <c r="J2889" s="33">
        <f>[1]Source!S2919</f>
        <v>67539.48</v>
      </c>
      <c r="K2889" s="33"/>
      <c r="M2889"/>
      <c r="N2889"/>
      <c r="O2889"/>
      <c r="P2889"/>
      <c r="Q2889"/>
    </row>
    <row r="2890" spans="1:33" ht="14.25" x14ac:dyDescent="0.2">
      <c r="A2890" s="31"/>
      <c r="B2890" s="31"/>
      <c r="C2890" s="31" t="s">
        <v>40</v>
      </c>
      <c r="D2890" s="32" t="s">
        <v>39</v>
      </c>
      <c r="E2890" s="4">
        <f>[1]Source!AT2919</f>
        <v>70</v>
      </c>
      <c r="F2890" s="33"/>
      <c r="G2890" s="34"/>
      <c r="H2890" s="4"/>
      <c r="I2890" s="4"/>
      <c r="J2890" s="33">
        <f>SUM(AC2887:AC2889)</f>
        <v>47277.64</v>
      </c>
      <c r="K2890" s="33"/>
      <c r="M2890"/>
      <c r="N2890"/>
      <c r="O2890"/>
      <c r="P2890"/>
      <c r="Q2890"/>
    </row>
    <row r="2891" spans="1:33" ht="14.25" x14ac:dyDescent="0.2">
      <c r="A2891" s="31"/>
      <c r="B2891" s="31"/>
      <c r="C2891" s="31" t="s">
        <v>41</v>
      </c>
      <c r="D2891" s="32" t="s">
        <v>39</v>
      </c>
      <c r="E2891" s="4">
        <f>[1]Source!AU2919</f>
        <v>10</v>
      </c>
      <c r="F2891" s="33"/>
      <c r="G2891" s="34"/>
      <c r="H2891" s="4"/>
      <c r="I2891" s="4"/>
      <c r="J2891" s="33">
        <f>SUM(AE2887:AE2890)</f>
        <v>6753.95</v>
      </c>
      <c r="K2891" s="33"/>
      <c r="M2891"/>
      <c r="N2891"/>
      <c r="O2891"/>
      <c r="P2891"/>
      <c r="Q2891"/>
    </row>
    <row r="2892" spans="1:33" ht="14.25" x14ac:dyDescent="0.2">
      <c r="A2892" s="31"/>
      <c r="B2892" s="31"/>
      <c r="C2892" s="31" t="s">
        <v>42</v>
      </c>
      <c r="D2892" s="32" t="s">
        <v>43</v>
      </c>
      <c r="E2892" s="4">
        <f>[1]Source!AQ2919</f>
        <v>0.14000000000000001</v>
      </c>
      <c r="F2892" s="33"/>
      <c r="G2892" s="34" t="str">
        <f>[1]Source!DI2919</f>
        <v>)*2*398</v>
      </c>
      <c r="H2892" s="4">
        <f>[1]Source!AV2919</f>
        <v>1</v>
      </c>
      <c r="I2892" s="4"/>
      <c r="J2892" s="33"/>
      <c r="K2892" s="33">
        <f>[1]Source!U2919</f>
        <v>272.41508000000005</v>
      </c>
      <c r="M2892"/>
      <c r="N2892"/>
      <c r="O2892"/>
      <c r="P2892"/>
      <c r="Q2892"/>
    </row>
    <row r="2893" spans="1:33" ht="15" x14ac:dyDescent="0.25">
      <c r="A2893" s="35"/>
      <c r="B2893" s="35"/>
      <c r="C2893" s="35"/>
      <c r="D2893" s="35"/>
      <c r="E2893" s="35"/>
      <c r="F2893" s="35"/>
      <c r="G2893" s="35"/>
      <c r="H2893" s="35"/>
      <c r="I2893" s="36">
        <f>J2889+J2890+J2891</f>
        <v>121571.06999999999</v>
      </c>
      <c r="J2893" s="36"/>
      <c r="K2893" s="37">
        <f>IF([1]Source!I2919&lt;&gt;0, ROUND(I2893/[1]Source!I2919, 2), 0)</f>
        <v>49732.49</v>
      </c>
      <c r="M2893"/>
      <c r="N2893"/>
      <c r="O2893"/>
      <c r="P2893"/>
      <c r="Q2893"/>
      <c r="AA2893" s="38">
        <f>I2893</f>
        <v>121571.06999999999</v>
      </c>
    </row>
    <row r="2894" spans="1:33" ht="28.5" x14ac:dyDescent="0.2">
      <c r="A2894" s="31">
        <v>382</v>
      </c>
      <c r="B2894" s="31" t="str">
        <f>[1]Source!F2920</f>
        <v>5.3-1101-14-1/1</v>
      </c>
      <c r="C2894" s="31" t="str">
        <f>[1]Source!G2920</f>
        <v>Полив дорожек из шланга вручную( промывка пролета)</v>
      </c>
      <c r="D2894" s="32" t="str">
        <f>[1]Source!H2920</f>
        <v>100 м2</v>
      </c>
      <c r="E2894" s="4">
        <f>[1]Source!I2920</f>
        <v>2.4445000000000001</v>
      </c>
      <c r="F2894" s="33"/>
      <c r="G2894" s="34"/>
      <c r="H2894" s="4"/>
      <c r="I2894" s="4"/>
      <c r="J2894" s="33"/>
      <c r="K2894" s="33"/>
      <c r="M2894"/>
      <c r="N2894"/>
      <c r="O2894"/>
      <c r="P2894"/>
      <c r="Q2894"/>
      <c r="AB2894">
        <f>ROUND(([1]Source!BZ2920/100)*ROUND(([1]Source!AF2920*[1]Source!AV2920)*[1]Source!I2920, 2), 2)</f>
        <v>3198.72</v>
      </c>
      <c r="AC2894">
        <f>[1]Source!X2920</f>
        <v>3198.72</v>
      </c>
      <c r="AD2894">
        <f>ROUND(([1]Source!CA2920/100)*ROUND(([1]Source!AF2920*[1]Source!AV2920)*[1]Source!I2920, 2), 2)</f>
        <v>456.96</v>
      </c>
      <c r="AE2894">
        <f>[1]Source!Y2920</f>
        <v>456.96</v>
      </c>
      <c r="AF2894">
        <f>ROUND((175/100)*ROUND(([1]Source!AE2920*[1]Source!AV2920)*[1]Source!I2920, 2), 2)</f>
        <v>0</v>
      </c>
      <c r="AG2894">
        <f>ROUND((108/100)*ROUND([1]Source!CS2920*[1]Source!I2920, 2), 2)</f>
        <v>0</v>
      </c>
    </row>
    <row r="2895" spans="1:33" x14ac:dyDescent="0.2">
      <c r="C2895" s="40" t="str">
        <f>"Объем: "&amp;[1]Source!I2920&amp;"=244,45/"&amp;"100"</f>
        <v>Объем: 2,4445=244,45/100</v>
      </c>
      <c r="M2895"/>
      <c r="N2895"/>
      <c r="O2895"/>
      <c r="P2895"/>
      <c r="Q2895"/>
    </row>
    <row r="2896" spans="1:33" ht="14.25" x14ac:dyDescent="0.2">
      <c r="A2896" s="31"/>
      <c r="B2896" s="31"/>
      <c r="C2896" s="31" t="s">
        <v>34</v>
      </c>
      <c r="D2896" s="32"/>
      <c r="E2896" s="4"/>
      <c r="F2896" s="33">
        <f>[1]Source!AO2920</f>
        <v>32.229999999999997</v>
      </c>
      <c r="G2896" s="34" t="str">
        <f>[1]Source!DG2920</f>
        <v>)*1*58</v>
      </c>
      <c r="H2896" s="4">
        <f>[1]Source!AV2920</f>
        <v>1</v>
      </c>
      <c r="I2896" s="4">
        <f>IF([1]Source!BA2920&lt;&gt; 0, [1]Source!BA2920, 1)</f>
        <v>1</v>
      </c>
      <c r="J2896" s="33">
        <f>[1]Source!S2920</f>
        <v>4569.6000000000004</v>
      </c>
      <c r="K2896" s="33"/>
      <c r="M2896"/>
      <c r="N2896"/>
      <c r="O2896"/>
      <c r="P2896"/>
      <c r="Q2896"/>
    </row>
    <row r="2897" spans="1:33" ht="14.25" x14ac:dyDescent="0.2">
      <c r="A2897" s="31"/>
      <c r="B2897" s="31"/>
      <c r="C2897" s="31" t="s">
        <v>47</v>
      </c>
      <c r="D2897" s="32"/>
      <c r="E2897" s="4"/>
      <c r="F2897" s="33">
        <f>[1]Source!AL2920</f>
        <v>4.24</v>
      </c>
      <c r="G2897" s="34" t="str">
        <f>[1]Source!DD2920</f>
        <v>)*1*58</v>
      </c>
      <c r="H2897" s="4">
        <f>[1]Source!AW2920</f>
        <v>1</v>
      </c>
      <c r="I2897" s="4">
        <f>IF([1]Source!BC2920&lt;&gt; 0, [1]Source!BC2920, 1)</f>
        <v>1</v>
      </c>
      <c r="J2897" s="33">
        <f>[1]Source!P2920</f>
        <v>601.15</v>
      </c>
      <c r="K2897" s="33"/>
      <c r="M2897"/>
      <c r="N2897"/>
      <c r="O2897"/>
      <c r="P2897"/>
      <c r="Q2897"/>
    </row>
    <row r="2898" spans="1:33" ht="14.25" x14ac:dyDescent="0.2">
      <c r="A2898" s="31" t="s">
        <v>125</v>
      </c>
      <c r="B2898" s="31" t="str">
        <f>[1]Source!F2921</f>
        <v>21.1-25-13</v>
      </c>
      <c r="C2898" s="31" t="str">
        <f>[1]Source!G2921</f>
        <v>Вода</v>
      </c>
      <c r="D2898" s="32" t="str">
        <f>[1]Source!H2921</f>
        <v>м3</v>
      </c>
      <c r="E2898" s="4">
        <f>[1]Source!I2921</f>
        <v>-14.178100000000002</v>
      </c>
      <c r="F2898" s="33">
        <f>[1]Source!AK2921</f>
        <v>42.44</v>
      </c>
      <c r="G2898" s="39" t="s">
        <v>121</v>
      </c>
      <c r="H2898" s="4">
        <f>[1]Source!AW2921</f>
        <v>1</v>
      </c>
      <c r="I2898" s="4">
        <f>IF([1]Source!BC2921&lt;&gt; 0, [1]Source!BC2921, 1)</f>
        <v>1</v>
      </c>
      <c r="J2898" s="33">
        <f>[1]Source!O2921</f>
        <v>-601.72</v>
      </c>
      <c r="K2898" s="33"/>
      <c r="M2898"/>
      <c r="N2898"/>
      <c r="O2898"/>
      <c r="P2898"/>
      <c r="Q2898"/>
      <c r="AB2898">
        <f>ROUND(([1]Source!BZ2921/100)*ROUND(([1]Source!AF2921*[1]Source!AV2921)*[1]Source!I2921, 2), 2)</f>
        <v>0</v>
      </c>
      <c r="AC2898">
        <f>[1]Source!X2921</f>
        <v>0</v>
      </c>
      <c r="AD2898">
        <f>ROUND(([1]Source!CA2921/100)*ROUND(([1]Source!AF2921*[1]Source!AV2921)*[1]Source!I2921, 2), 2)</f>
        <v>0</v>
      </c>
      <c r="AE2898">
        <f>[1]Source!Y2921</f>
        <v>0</v>
      </c>
      <c r="AF2898">
        <f>ROUND((175/100)*ROUND(([1]Source!AE2921*[1]Source!AV2921)*[1]Source!I2921, 2), 2)</f>
        <v>0</v>
      </c>
      <c r="AG2898">
        <f>ROUND((108/100)*ROUND([1]Source!CS2921*[1]Source!I2921, 2), 2)</f>
        <v>0</v>
      </c>
    </row>
    <row r="2899" spans="1:33" ht="14.25" x14ac:dyDescent="0.2">
      <c r="A2899" s="31"/>
      <c r="B2899" s="31"/>
      <c r="C2899" s="31" t="s">
        <v>40</v>
      </c>
      <c r="D2899" s="32" t="s">
        <v>39</v>
      </c>
      <c r="E2899" s="4">
        <f>[1]Source!AT2920</f>
        <v>70</v>
      </c>
      <c r="F2899" s="33"/>
      <c r="G2899" s="34"/>
      <c r="H2899" s="4"/>
      <c r="I2899" s="4"/>
      <c r="J2899" s="33">
        <f>SUM(AC2894:AC2898)</f>
        <v>3198.72</v>
      </c>
      <c r="K2899" s="33"/>
      <c r="M2899"/>
      <c r="N2899"/>
      <c r="O2899"/>
      <c r="P2899"/>
      <c r="Q2899"/>
    </row>
    <row r="2900" spans="1:33" ht="14.25" x14ac:dyDescent="0.2">
      <c r="A2900" s="31"/>
      <c r="B2900" s="31"/>
      <c r="C2900" s="31" t="s">
        <v>41</v>
      </c>
      <c r="D2900" s="32" t="s">
        <v>39</v>
      </c>
      <c r="E2900" s="4">
        <f>[1]Source!AU2920</f>
        <v>10</v>
      </c>
      <c r="F2900" s="33"/>
      <c r="G2900" s="34"/>
      <c r="H2900" s="4"/>
      <c r="I2900" s="4"/>
      <c r="J2900" s="33">
        <f>SUM(AE2894:AE2899)</f>
        <v>456.96</v>
      </c>
      <c r="K2900" s="33"/>
      <c r="M2900"/>
      <c r="N2900"/>
      <c r="O2900"/>
      <c r="P2900"/>
      <c r="Q2900"/>
    </row>
    <row r="2901" spans="1:33" ht="14.25" x14ac:dyDescent="0.2">
      <c r="A2901" s="31"/>
      <c r="B2901" s="31"/>
      <c r="C2901" s="31" t="s">
        <v>42</v>
      </c>
      <c r="D2901" s="32" t="s">
        <v>43</v>
      </c>
      <c r="E2901" s="4">
        <f>[1]Source!AQ2920</f>
        <v>0.13</v>
      </c>
      <c r="F2901" s="33"/>
      <c r="G2901" s="34" t="str">
        <f>[1]Source!DI2920</f>
        <v>)*1*58</v>
      </c>
      <c r="H2901" s="4">
        <f>[1]Source!AV2920</f>
        <v>1</v>
      </c>
      <c r="I2901" s="4"/>
      <c r="J2901" s="33"/>
      <c r="K2901" s="33">
        <f>[1]Source!U2920</f>
        <v>18.431530000000002</v>
      </c>
      <c r="M2901"/>
      <c r="N2901"/>
      <c r="O2901"/>
      <c r="P2901"/>
      <c r="Q2901"/>
    </row>
    <row r="2902" spans="1:33" ht="15" x14ac:dyDescent="0.25">
      <c r="A2902" s="35"/>
      <c r="B2902" s="35"/>
      <c r="C2902" s="35"/>
      <c r="D2902" s="35"/>
      <c r="E2902" s="35"/>
      <c r="F2902" s="35"/>
      <c r="G2902" s="35"/>
      <c r="H2902" s="35"/>
      <c r="I2902" s="36">
        <f>J2896+J2897+J2899+J2900+SUM(J2898:J2898)</f>
        <v>8224.7099999999991</v>
      </c>
      <c r="J2902" s="36"/>
      <c r="K2902" s="37">
        <f>IF([1]Source!I2920&lt;&gt;0, ROUND(I2902/[1]Source!I2920, 2), 0)</f>
        <v>3364.58</v>
      </c>
      <c r="M2902"/>
      <c r="N2902"/>
      <c r="O2902"/>
      <c r="P2902"/>
      <c r="Q2902"/>
      <c r="AA2902" s="38">
        <f>I2902</f>
        <v>8224.7099999999991</v>
      </c>
    </row>
    <row r="2903" spans="1:33" x14ac:dyDescent="0.2">
      <c r="M2903"/>
      <c r="N2903"/>
      <c r="O2903"/>
      <c r="P2903"/>
      <c r="Q2903"/>
    </row>
    <row r="2904" spans="1:33" ht="15" x14ac:dyDescent="0.25">
      <c r="A2904" s="42" t="str">
        <f>CONCATENATE("Итого по подразделу: ",IF([1]Source!G2923&lt;&gt;"Новый подраздел", [1]Source!G2923, ""))</f>
        <v>Итого по подразделу: Уход за гранитной лестницей ( S= 244,45 м2)</v>
      </c>
      <c r="B2904" s="42"/>
      <c r="C2904" s="42"/>
      <c r="D2904" s="42"/>
      <c r="E2904" s="42"/>
      <c r="F2904" s="42"/>
      <c r="G2904" s="42"/>
      <c r="H2904" s="42"/>
      <c r="I2904" s="43">
        <f>SUM(AA2886:AA2903)</f>
        <v>129795.78</v>
      </c>
      <c r="J2904" s="44"/>
      <c r="K2904" s="47"/>
      <c r="L2904" s="38">
        <f>I2904</f>
        <v>129795.78</v>
      </c>
      <c r="M2904" s="2">
        <f>ROUND(I2904*$I$4874,2)</f>
        <v>93739.4</v>
      </c>
      <c r="N2904" s="2">
        <f>ROUND(M2904*1.2/105*100,2)</f>
        <v>107130.74</v>
      </c>
      <c r="O2904" s="2">
        <f>ROUND(N2904*0.05,2)</f>
        <v>5356.54</v>
      </c>
      <c r="P2904" s="2">
        <f>N2904+O2904</f>
        <v>112487.28</v>
      </c>
      <c r="Q2904" s="3">
        <v>82</v>
      </c>
      <c r="S2904" s="2">
        <v>0</v>
      </c>
    </row>
    <row r="2905" spans="1:33" x14ac:dyDescent="0.2">
      <c r="M2905"/>
      <c r="N2905"/>
      <c r="O2905"/>
      <c r="P2905"/>
      <c r="Q2905"/>
    </row>
    <row r="2906" spans="1:33" x14ac:dyDescent="0.2">
      <c r="M2906"/>
      <c r="N2906"/>
      <c r="O2906"/>
      <c r="P2906"/>
      <c r="Q2906"/>
    </row>
    <row r="2907" spans="1:33" ht="16.5" x14ac:dyDescent="0.25">
      <c r="A2907" s="29" t="str">
        <f>CONCATENATE("Подраздел: ",IF([1]Source!G2953&lt;&gt;"Новый подраздел", [1]Source!G2953, ""))</f>
        <v>Подраздел: Уход за  парапетом</v>
      </c>
      <c r="B2907" s="29"/>
      <c r="C2907" s="29"/>
      <c r="D2907" s="29"/>
      <c r="E2907" s="29"/>
      <c r="F2907" s="29"/>
      <c r="G2907" s="29"/>
      <c r="H2907" s="29"/>
      <c r="I2907" s="29"/>
      <c r="J2907" s="29"/>
      <c r="K2907" s="29"/>
      <c r="M2907"/>
      <c r="N2907"/>
      <c r="O2907"/>
      <c r="P2907"/>
      <c r="Q2907"/>
    </row>
    <row r="2908" spans="1:33" ht="42.75" x14ac:dyDescent="0.2">
      <c r="A2908" s="31">
        <v>383</v>
      </c>
      <c r="B2908" s="31" t="str">
        <f>[1]Source!F2957</f>
        <v>5.3-1101-5-1/1</v>
      </c>
      <c r="C2908" s="31" t="str">
        <f>[1]Source!G2957</f>
        <v>Промывка оград железобетонных от пыли и грязи водой под напором( 31,5м2)( прим.)</v>
      </c>
      <c r="D2908" s="32" t="str">
        <f>[1]Source!H2957</f>
        <v>100 м2</v>
      </c>
      <c r="E2908" s="4">
        <f>[1]Source!I2957</f>
        <v>0.315</v>
      </c>
      <c r="F2908" s="33"/>
      <c r="G2908" s="34"/>
      <c r="H2908" s="4"/>
      <c r="I2908" s="4"/>
      <c r="J2908" s="33"/>
      <c r="K2908" s="33"/>
      <c r="M2908"/>
      <c r="N2908"/>
      <c r="O2908"/>
      <c r="P2908"/>
      <c r="Q2908"/>
      <c r="AB2908">
        <f>ROUND(([1]Source!BZ2957/100)*ROUND(([1]Source!AF2957*[1]Source!AV2957)*[1]Source!I2957, 2), 2)</f>
        <v>225.24</v>
      </c>
      <c r="AC2908">
        <f>[1]Source!X2957</f>
        <v>225.24</v>
      </c>
      <c r="AD2908">
        <f>ROUND(([1]Source!CA2957/100)*ROUND(([1]Source!AF2957*[1]Source!AV2957)*[1]Source!I2957, 2), 2)</f>
        <v>32.18</v>
      </c>
      <c r="AE2908">
        <f>[1]Source!Y2957</f>
        <v>32.18</v>
      </c>
      <c r="AF2908">
        <f>ROUND((175/100)*ROUND(([1]Source!AE2957*[1]Source!AV2957)*[1]Source!I2957, 2), 2)</f>
        <v>1346.57</v>
      </c>
      <c r="AG2908">
        <f>ROUND((108/100)*ROUND([1]Source!CS2957*[1]Source!I2957, 2), 2)</f>
        <v>831.03</v>
      </c>
    </row>
    <row r="2909" spans="1:33" x14ac:dyDescent="0.2">
      <c r="C2909" s="40" t="str">
        <f>"Объем: "&amp;[1]Source!I2957&amp;"=31,5/"&amp;"100"</f>
        <v>Объем: 0,315=31,5/100</v>
      </c>
      <c r="M2909"/>
      <c r="N2909"/>
      <c r="O2909"/>
      <c r="P2909"/>
      <c r="Q2909"/>
    </row>
    <row r="2910" spans="1:33" ht="14.25" x14ac:dyDescent="0.2">
      <c r="A2910" s="31"/>
      <c r="B2910" s="31"/>
      <c r="C2910" s="31" t="s">
        <v>34</v>
      </c>
      <c r="D2910" s="32"/>
      <c r="E2910" s="4"/>
      <c r="F2910" s="33">
        <f>[1]Source!AO2957</f>
        <v>255.37</v>
      </c>
      <c r="G2910" s="34" t="str">
        <f>[1]Source!DG2957</f>
        <v>)*1*4</v>
      </c>
      <c r="H2910" s="4">
        <f>[1]Source!AV2957</f>
        <v>1</v>
      </c>
      <c r="I2910" s="4">
        <f>IF([1]Source!BA2957&lt;&gt; 0, [1]Source!BA2957, 1)</f>
        <v>1</v>
      </c>
      <c r="J2910" s="33">
        <f>[1]Source!S2957</f>
        <v>321.77</v>
      </c>
      <c r="K2910" s="33"/>
      <c r="M2910"/>
      <c r="N2910"/>
      <c r="O2910"/>
      <c r="P2910"/>
      <c r="Q2910"/>
    </row>
    <row r="2911" spans="1:33" ht="14.25" x14ac:dyDescent="0.2">
      <c r="A2911" s="31"/>
      <c r="B2911" s="31"/>
      <c r="C2911" s="31" t="s">
        <v>33</v>
      </c>
      <c r="D2911" s="32"/>
      <c r="E2911" s="4"/>
      <c r="F2911" s="33">
        <f>[1]Source!AM2957</f>
        <v>1655.86</v>
      </c>
      <c r="G2911" s="34" t="str">
        <f>[1]Source!DE2957</f>
        <v>)*1*4</v>
      </c>
      <c r="H2911" s="4">
        <f>[1]Source!AV2957</f>
        <v>1</v>
      </c>
      <c r="I2911" s="4">
        <f>IF([1]Source!BB2957&lt;&gt; 0, [1]Source!BB2957, 1)</f>
        <v>1</v>
      </c>
      <c r="J2911" s="33">
        <f>[1]Source!Q2957</f>
        <v>2086.38</v>
      </c>
      <c r="K2911" s="33"/>
      <c r="M2911"/>
      <c r="N2911"/>
      <c r="O2911"/>
      <c r="P2911"/>
      <c r="Q2911"/>
    </row>
    <row r="2912" spans="1:33" ht="14.25" x14ac:dyDescent="0.2">
      <c r="A2912" s="31"/>
      <c r="B2912" s="31"/>
      <c r="C2912" s="31" t="s">
        <v>37</v>
      </c>
      <c r="D2912" s="32"/>
      <c r="E2912" s="4"/>
      <c r="F2912" s="33">
        <f>[1]Source!AN2957</f>
        <v>610.69000000000005</v>
      </c>
      <c r="G2912" s="34" t="str">
        <f>[1]Source!DF2957</f>
        <v>)*1*4</v>
      </c>
      <c r="H2912" s="4">
        <f>[1]Source!AV2957</f>
        <v>1</v>
      </c>
      <c r="I2912" s="4">
        <f>IF([1]Source!BS2957&lt;&gt; 0, [1]Source!BS2957, 1)</f>
        <v>1</v>
      </c>
      <c r="J2912" s="41">
        <f>[1]Source!R2957</f>
        <v>769.47</v>
      </c>
      <c r="K2912" s="33"/>
      <c r="M2912"/>
      <c r="N2912"/>
      <c r="O2912"/>
      <c r="P2912"/>
      <c r="Q2912"/>
    </row>
    <row r="2913" spans="1:33" ht="14.25" x14ac:dyDescent="0.2">
      <c r="A2913" s="31"/>
      <c r="B2913" s="31"/>
      <c r="C2913" s="31" t="s">
        <v>47</v>
      </c>
      <c r="D2913" s="32"/>
      <c r="E2913" s="4"/>
      <c r="F2913" s="33">
        <f>[1]Source!AL2957</f>
        <v>25.46</v>
      </c>
      <c r="G2913" s="34" t="str">
        <f>[1]Source!DD2957</f>
        <v>)*1*4</v>
      </c>
      <c r="H2913" s="4">
        <f>[1]Source!AW2957</f>
        <v>1</v>
      </c>
      <c r="I2913" s="4">
        <f>IF([1]Source!BC2957&lt;&gt; 0, [1]Source!BC2957, 1)</f>
        <v>1</v>
      </c>
      <c r="J2913" s="33">
        <f>[1]Source!P2957</f>
        <v>32.08</v>
      </c>
      <c r="K2913" s="33"/>
      <c r="M2913"/>
      <c r="N2913"/>
      <c r="O2913"/>
      <c r="P2913"/>
      <c r="Q2913"/>
    </row>
    <row r="2914" spans="1:33" ht="14.25" x14ac:dyDescent="0.2">
      <c r="A2914" s="31" t="s">
        <v>126</v>
      </c>
      <c r="B2914" s="31" t="str">
        <f>[1]Source!F2958</f>
        <v>21.1-25-13</v>
      </c>
      <c r="C2914" s="31" t="str">
        <f>[1]Source!G2958</f>
        <v>Вода</v>
      </c>
      <c r="D2914" s="32" t="str">
        <f>[1]Source!H2958</f>
        <v>м3</v>
      </c>
      <c r="E2914" s="4">
        <f>[1]Source!I2958</f>
        <v>-0.75600000000000001</v>
      </c>
      <c r="F2914" s="33">
        <f>[1]Source!AK2958</f>
        <v>42.44</v>
      </c>
      <c r="G2914" s="39" t="s">
        <v>127</v>
      </c>
      <c r="H2914" s="4">
        <f>[1]Source!AW2958</f>
        <v>1</v>
      </c>
      <c r="I2914" s="4">
        <f>IF([1]Source!BC2958&lt;&gt; 0, [1]Source!BC2958, 1)</f>
        <v>1</v>
      </c>
      <c r="J2914" s="33">
        <f>[1]Source!O2958</f>
        <v>-32.08</v>
      </c>
      <c r="K2914" s="33"/>
      <c r="M2914"/>
      <c r="N2914"/>
      <c r="O2914"/>
      <c r="P2914"/>
      <c r="Q2914"/>
      <c r="AB2914">
        <f>ROUND(([1]Source!BZ2958/100)*ROUND(([1]Source!AF2958*[1]Source!AV2958)*[1]Source!I2958, 2), 2)</f>
        <v>0</v>
      </c>
      <c r="AC2914">
        <f>[1]Source!X2958</f>
        <v>0</v>
      </c>
      <c r="AD2914">
        <f>ROUND(([1]Source!CA2958/100)*ROUND(([1]Source!AF2958*[1]Source!AV2958)*[1]Source!I2958, 2), 2)</f>
        <v>0</v>
      </c>
      <c r="AE2914">
        <f>[1]Source!Y2958</f>
        <v>0</v>
      </c>
      <c r="AF2914">
        <f>ROUND((175/100)*ROUND(([1]Source!AE2958*[1]Source!AV2958)*[1]Source!I2958, 2), 2)</f>
        <v>0</v>
      </c>
      <c r="AG2914">
        <f>ROUND((108/100)*ROUND([1]Source!CS2958*[1]Source!I2958, 2), 2)</f>
        <v>0</v>
      </c>
    </row>
    <row r="2915" spans="1:33" ht="14.25" x14ac:dyDescent="0.2">
      <c r="A2915" s="31"/>
      <c r="B2915" s="31"/>
      <c r="C2915" s="31" t="s">
        <v>40</v>
      </c>
      <c r="D2915" s="32" t="s">
        <v>39</v>
      </c>
      <c r="E2915" s="4">
        <f>[1]Source!AT2957</f>
        <v>70</v>
      </c>
      <c r="F2915" s="33"/>
      <c r="G2915" s="34"/>
      <c r="H2915" s="4"/>
      <c r="I2915" s="4"/>
      <c r="J2915" s="33">
        <f>SUM(AC2908:AC2914)</f>
        <v>225.24</v>
      </c>
      <c r="K2915" s="33"/>
      <c r="M2915"/>
      <c r="N2915"/>
      <c r="O2915"/>
      <c r="P2915"/>
      <c r="Q2915"/>
    </row>
    <row r="2916" spans="1:33" ht="14.25" x14ac:dyDescent="0.2">
      <c r="A2916" s="31"/>
      <c r="B2916" s="31"/>
      <c r="C2916" s="31" t="s">
        <v>41</v>
      </c>
      <c r="D2916" s="32" t="s">
        <v>39</v>
      </c>
      <c r="E2916" s="4">
        <f>[1]Source!AU2957</f>
        <v>10</v>
      </c>
      <c r="F2916" s="33"/>
      <c r="G2916" s="34"/>
      <c r="H2916" s="4"/>
      <c r="I2916" s="4"/>
      <c r="J2916" s="33">
        <f>SUM(AE2908:AE2915)</f>
        <v>32.18</v>
      </c>
      <c r="K2916" s="33"/>
      <c r="M2916"/>
      <c r="N2916"/>
      <c r="O2916"/>
      <c r="P2916"/>
      <c r="Q2916"/>
    </row>
    <row r="2917" spans="1:33" ht="14.25" x14ac:dyDescent="0.2">
      <c r="A2917" s="31"/>
      <c r="B2917" s="31"/>
      <c r="C2917" s="31" t="s">
        <v>38</v>
      </c>
      <c r="D2917" s="32" t="s">
        <v>39</v>
      </c>
      <c r="E2917" s="4">
        <f>108</f>
        <v>108</v>
      </c>
      <c r="F2917" s="33"/>
      <c r="G2917" s="34"/>
      <c r="H2917" s="4"/>
      <c r="I2917" s="4"/>
      <c r="J2917" s="33">
        <f>SUM(AG2908:AG2916)</f>
        <v>831.03</v>
      </c>
      <c r="K2917" s="33"/>
      <c r="M2917"/>
      <c r="N2917"/>
      <c r="O2917"/>
      <c r="P2917"/>
      <c r="Q2917"/>
    </row>
    <row r="2918" spans="1:33" ht="14.25" x14ac:dyDescent="0.2">
      <c r="A2918" s="31"/>
      <c r="B2918" s="31"/>
      <c r="C2918" s="31" t="s">
        <v>42</v>
      </c>
      <c r="D2918" s="32" t="s">
        <v>43</v>
      </c>
      <c r="E2918" s="4">
        <f>[1]Source!AQ2957</f>
        <v>1.03</v>
      </c>
      <c r="F2918" s="33"/>
      <c r="G2918" s="34" t="str">
        <f>[1]Source!DI2957</f>
        <v>)*1*4</v>
      </c>
      <c r="H2918" s="4">
        <f>[1]Source!AV2957</f>
        <v>1</v>
      </c>
      <c r="I2918" s="4"/>
      <c r="J2918" s="33"/>
      <c r="K2918" s="33">
        <f>[1]Source!U2957</f>
        <v>1.2978000000000001</v>
      </c>
      <c r="M2918"/>
      <c r="N2918"/>
      <c r="O2918"/>
      <c r="P2918"/>
      <c r="Q2918"/>
    </row>
    <row r="2919" spans="1:33" ht="15" x14ac:dyDescent="0.25">
      <c r="A2919" s="35"/>
      <c r="B2919" s="35"/>
      <c r="C2919" s="35"/>
      <c r="D2919" s="35"/>
      <c r="E2919" s="35"/>
      <c r="F2919" s="35"/>
      <c r="G2919" s="35"/>
      <c r="H2919" s="35"/>
      <c r="I2919" s="36">
        <f>J2910+J2911+J2913+J2915+J2916+J2917+SUM(J2914:J2914)</f>
        <v>3496.6000000000004</v>
      </c>
      <c r="J2919" s="36"/>
      <c r="K2919" s="37">
        <f>IF([1]Source!I2957&lt;&gt;0, ROUND(I2919/[1]Source!I2957, 2), 0)</f>
        <v>11100.32</v>
      </c>
      <c r="M2919"/>
      <c r="N2919"/>
      <c r="O2919"/>
      <c r="P2919"/>
      <c r="Q2919"/>
      <c r="AA2919" s="38">
        <f>I2919</f>
        <v>3496.6000000000004</v>
      </c>
    </row>
    <row r="2920" spans="1:33" ht="42.75" x14ac:dyDescent="0.2">
      <c r="A2920" s="31">
        <v>384</v>
      </c>
      <c r="B2920" s="31" t="str">
        <f>[1]Source!F2959</f>
        <v>5.3-1101-7-1/1</v>
      </c>
      <c r="C2920" s="31" t="str">
        <f>[1]Source!G2959</f>
        <v>Протирка оград железобетонных от пыли и грязи( протирка парапета)( прим.)</v>
      </c>
      <c r="D2920" s="32" t="str">
        <f>[1]Source!H2959</f>
        <v>100 м2</v>
      </c>
      <c r="E2920" s="4">
        <f>[1]Source!I2959</f>
        <v>0.315</v>
      </c>
      <c r="F2920" s="33"/>
      <c r="G2920" s="34"/>
      <c r="H2920" s="4"/>
      <c r="I2920" s="4"/>
      <c r="J2920" s="33"/>
      <c r="K2920" s="33"/>
      <c r="M2920"/>
      <c r="N2920"/>
      <c r="O2920"/>
      <c r="P2920"/>
      <c r="Q2920"/>
      <c r="AB2920">
        <f>ROUND(([1]Source!BZ2959/100)*ROUND(([1]Source!AF2959*[1]Source!AV2959)*[1]Source!I2959, 2), 2)</f>
        <v>3170.77</v>
      </c>
      <c r="AC2920">
        <f>[1]Source!X2959</f>
        <v>3170.77</v>
      </c>
      <c r="AD2920">
        <f>ROUND(([1]Source!CA2959/100)*ROUND(([1]Source!AF2959*[1]Source!AV2959)*[1]Source!I2959, 2), 2)</f>
        <v>452.97</v>
      </c>
      <c r="AE2920">
        <f>[1]Source!Y2959</f>
        <v>452.97</v>
      </c>
      <c r="AF2920">
        <f>ROUND((175/100)*ROUND(([1]Source!AE2959*[1]Source!AV2959)*[1]Source!I2959, 2), 2)</f>
        <v>0</v>
      </c>
      <c r="AG2920">
        <f>ROUND((108/100)*ROUND([1]Source!CS2959*[1]Source!I2959, 2), 2)</f>
        <v>0</v>
      </c>
    </row>
    <row r="2921" spans="1:33" x14ac:dyDescent="0.2">
      <c r="C2921" s="40" t="str">
        <f>"Объем: "&amp;[1]Source!I2959&amp;"=31,5/"&amp;"100"</f>
        <v>Объем: 0,315=31,5/100</v>
      </c>
      <c r="M2921"/>
      <c r="N2921"/>
      <c r="O2921"/>
      <c r="P2921"/>
      <c r="Q2921"/>
    </row>
    <row r="2922" spans="1:33" ht="14.25" x14ac:dyDescent="0.2">
      <c r="A2922" s="31"/>
      <c r="B2922" s="31"/>
      <c r="C2922" s="31" t="s">
        <v>34</v>
      </c>
      <c r="D2922" s="32"/>
      <c r="E2922" s="4"/>
      <c r="F2922" s="33">
        <f>[1]Source!AO2959</f>
        <v>1797.49</v>
      </c>
      <c r="G2922" s="34" t="str">
        <f>[1]Source!DG2959</f>
        <v>)*1*8</v>
      </c>
      <c r="H2922" s="4">
        <f>[1]Source!AV2959</f>
        <v>1</v>
      </c>
      <c r="I2922" s="4">
        <f>IF([1]Source!BA2959&lt;&gt; 0, [1]Source!BA2959, 1)</f>
        <v>1</v>
      </c>
      <c r="J2922" s="33">
        <f>[1]Source!S2959</f>
        <v>4529.67</v>
      </c>
      <c r="K2922" s="33"/>
      <c r="M2922"/>
      <c r="N2922"/>
      <c r="O2922"/>
      <c r="P2922"/>
      <c r="Q2922"/>
    </row>
    <row r="2923" spans="1:33" ht="14.25" x14ac:dyDescent="0.2">
      <c r="A2923" s="31"/>
      <c r="B2923" s="31"/>
      <c r="C2923" s="31" t="s">
        <v>47</v>
      </c>
      <c r="D2923" s="32"/>
      <c r="E2923" s="4"/>
      <c r="F2923" s="33">
        <f>[1]Source!AL2959</f>
        <v>5.42</v>
      </c>
      <c r="G2923" s="34" t="str">
        <f>[1]Source!DD2959</f>
        <v>)*1*8</v>
      </c>
      <c r="H2923" s="4">
        <f>[1]Source!AW2959</f>
        <v>1</v>
      </c>
      <c r="I2923" s="4">
        <f>IF([1]Source!BC2959&lt;&gt; 0, [1]Source!BC2959, 1)</f>
        <v>1</v>
      </c>
      <c r="J2923" s="33">
        <f>[1]Source!P2959</f>
        <v>13.66</v>
      </c>
      <c r="K2923" s="33"/>
      <c r="M2923"/>
      <c r="N2923"/>
      <c r="O2923"/>
      <c r="P2923"/>
      <c r="Q2923"/>
    </row>
    <row r="2924" spans="1:33" ht="14.25" x14ac:dyDescent="0.2">
      <c r="A2924" s="31" t="s">
        <v>128</v>
      </c>
      <c r="B2924" s="31" t="str">
        <f>[1]Source!F2960</f>
        <v>21.1-25-13</v>
      </c>
      <c r="C2924" s="31" t="str">
        <f>[1]Source!G2960</f>
        <v>Вода</v>
      </c>
      <c r="D2924" s="32" t="str">
        <f>[1]Source!H2960</f>
        <v>м3</v>
      </c>
      <c r="E2924" s="4">
        <f>[1]Source!I2960</f>
        <v>-5.04E-2</v>
      </c>
      <c r="F2924" s="33">
        <f>[1]Source!AK2960</f>
        <v>42.44</v>
      </c>
      <c r="G2924" s="39" t="s">
        <v>129</v>
      </c>
      <c r="H2924" s="4">
        <f>[1]Source!AW2960</f>
        <v>1</v>
      </c>
      <c r="I2924" s="4">
        <f>IF([1]Source!BC2960&lt;&gt; 0, [1]Source!BC2960, 1)</f>
        <v>1</v>
      </c>
      <c r="J2924" s="33">
        <f>[1]Source!O2960</f>
        <v>-2.14</v>
      </c>
      <c r="K2924" s="33"/>
      <c r="M2924"/>
      <c r="N2924"/>
      <c r="O2924"/>
      <c r="P2924"/>
      <c r="Q2924"/>
      <c r="AB2924">
        <f>ROUND(([1]Source!BZ2960/100)*ROUND(([1]Source!AF2960*[1]Source!AV2960)*[1]Source!I2960, 2), 2)</f>
        <v>0</v>
      </c>
      <c r="AC2924">
        <f>[1]Source!X2960</f>
        <v>0</v>
      </c>
      <c r="AD2924">
        <f>ROUND(([1]Source!CA2960/100)*ROUND(([1]Source!AF2960*[1]Source!AV2960)*[1]Source!I2960, 2), 2)</f>
        <v>0</v>
      </c>
      <c r="AE2924">
        <f>[1]Source!Y2960</f>
        <v>0</v>
      </c>
      <c r="AF2924">
        <f>ROUND((175/100)*ROUND(([1]Source!AE2960*[1]Source!AV2960)*[1]Source!I2960, 2), 2)</f>
        <v>0</v>
      </c>
      <c r="AG2924">
        <f>ROUND((108/100)*ROUND([1]Source!CS2960*[1]Source!I2960, 2), 2)</f>
        <v>0</v>
      </c>
    </row>
    <row r="2925" spans="1:33" ht="14.25" x14ac:dyDescent="0.2">
      <c r="A2925" s="31"/>
      <c r="B2925" s="31"/>
      <c r="C2925" s="31" t="s">
        <v>40</v>
      </c>
      <c r="D2925" s="32" t="s">
        <v>39</v>
      </c>
      <c r="E2925" s="4">
        <f>[1]Source!AT2959</f>
        <v>70</v>
      </c>
      <c r="F2925" s="33"/>
      <c r="G2925" s="34"/>
      <c r="H2925" s="4"/>
      <c r="I2925" s="4"/>
      <c r="J2925" s="33">
        <f>SUM(AC2920:AC2924)</f>
        <v>3170.77</v>
      </c>
      <c r="K2925" s="33"/>
      <c r="M2925"/>
      <c r="N2925"/>
      <c r="O2925"/>
      <c r="P2925"/>
      <c r="Q2925"/>
    </row>
    <row r="2926" spans="1:33" ht="14.25" x14ac:dyDescent="0.2">
      <c r="A2926" s="31"/>
      <c r="B2926" s="31"/>
      <c r="C2926" s="31" t="s">
        <v>41</v>
      </c>
      <c r="D2926" s="32" t="s">
        <v>39</v>
      </c>
      <c r="E2926" s="4">
        <f>[1]Source!AU2959</f>
        <v>10</v>
      </c>
      <c r="F2926" s="33"/>
      <c r="G2926" s="34"/>
      <c r="H2926" s="4"/>
      <c r="I2926" s="4"/>
      <c r="J2926" s="33">
        <f>SUM(AE2920:AE2925)</f>
        <v>452.97</v>
      </c>
      <c r="K2926" s="33"/>
      <c r="M2926"/>
      <c r="N2926"/>
      <c r="O2926"/>
      <c r="P2926"/>
      <c r="Q2926"/>
    </row>
    <row r="2927" spans="1:33" ht="14.25" x14ac:dyDescent="0.2">
      <c r="A2927" s="31"/>
      <c r="B2927" s="31"/>
      <c r="C2927" s="31" t="s">
        <v>42</v>
      </c>
      <c r="D2927" s="32" t="s">
        <v>43</v>
      </c>
      <c r="E2927" s="4">
        <f>[1]Source!AQ2959</f>
        <v>7.25</v>
      </c>
      <c r="F2927" s="33"/>
      <c r="G2927" s="34" t="str">
        <f>[1]Source!DI2959</f>
        <v>)*1*8</v>
      </c>
      <c r="H2927" s="4">
        <f>[1]Source!AV2959</f>
        <v>1</v>
      </c>
      <c r="I2927" s="4"/>
      <c r="J2927" s="33"/>
      <c r="K2927" s="33">
        <f>[1]Source!U2959</f>
        <v>18.27</v>
      </c>
      <c r="M2927"/>
      <c r="N2927"/>
      <c r="O2927"/>
      <c r="P2927"/>
      <c r="Q2927"/>
    </row>
    <row r="2928" spans="1:33" ht="15" x14ac:dyDescent="0.25">
      <c r="A2928" s="35"/>
      <c r="B2928" s="35"/>
      <c r="C2928" s="35"/>
      <c r="D2928" s="35"/>
      <c r="E2928" s="35"/>
      <c r="F2928" s="35"/>
      <c r="G2928" s="35"/>
      <c r="H2928" s="35"/>
      <c r="I2928" s="36">
        <f>J2922+J2923+J2925+J2926+SUM(J2924:J2924)</f>
        <v>8164.93</v>
      </c>
      <c r="J2928" s="36"/>
      <c r="K2928" s="37">
        <f>IF([1]Source!I2959&lt;&gt;0, ROUND(I2928/[1]Source!I2959, 2), 0)</f>
        <v>25920.41</v>
      </c>
      <c r="M2928"/>
      <c r="N2928"/>
      <c r="O2928"/>
      <c r="P2928"/>
      <c r="Q2928"/>
      <c r="AA2928" s="38">
        <f>I2928</f>
        <v>8164.93</v>
      </c>
    </row>
    <row r="2929" spans="1:43" x14ac:dyDescent="0.2">
      <c r="M2929"/>
      <c r="N2929"/>
      <c r="O2929"/>
      <c r="P2929"/>
      <c r="Q2929"/>
    </row>
    <row r="2930" spans="1:43" ht="15" x14ac:dyDescent="0.25">
      <c r="A2930" s="42" t="str">
        <f>CONCATENATE("Итого по подразделу: ",IF([1]Source!G2962&lt;&gt;"Новый подраздел", [1]Source!G2962, ""))</f>
        <v>Итого по подразделу: Уход за  парапетом</v>
      </c>
      <c r="B2930" s="42"/>
      <c r="C2930" s="42"/>
      <c r="D2930" s="42"/>
      <c r="E2930" s="42"/>
      <c r="F2930" s="42"/>
      <c r="G2930" s="42"/>
      <c r="H2930" s="42"/>
      <c r="I2930" s="43">
        <f>SUM(AA2907:AA2929)</f>
        <v>11661.53</v>
      </c>
      <c r="J2930" s="44"/>
      <c r="K2930" s="47"/>
      <c r="L2930" s="38">
        <f>I2930</f>
        <v>11661.53</v>
      </c>
      <c r="M2930" s="2">
        <f>ROUND(I2930*$I$4874,2)</f>
        <v>8422.0400000000009</v>
      </c>
      <c r="N2930" s="2">
        <f>ROUND(M2930*1.2/105*100,2)</f>
        <v>9625.19</v>
      </c>
      <c r="O2930" s="2">
        <f>ROUND(N2930*0.05,2)</f>
        <v>481.26</v>
      </c>
      <c r="P2930" s="2">
        <f>N2930+O2930</f>
        <v>10106.450000000001</v>
      </c>
      <c r="Q2930" s="3">
        <v>83</v>
      </c>
      <c r="S2930" s="2">
        <v>0</v>
      </c>
    </row>
    <row r="2931" spans="1:43" x14ac:dyDescent="0.2">
      <c r="M2931"/>
      <c r="N2931"/>
      <c r="O2931"/>
      <c r="P2931"/>
      <c r="Q2931"/>
    </row>
    <row r="2932" spans="1:43" x14ac:dyDescent="0.2">
      <c r="M2932"/>
      <c r="N2932"/>
      <c r="O2932"/>
      <c r="P2932"/>
      <c r="Q2932"/>
    </row>
    <row r="2933" spans="1:43" ht="30" x14ac:dyDescent="0.25">
      <c r="A2933" s="42" t="str">
        <f>CONCATENATE("Итого по разделу: ",IF([1]Source!G2992&lt;&gt;"Новый раздел", [1]Source!G2992, ""))</f>
        <v>Итого по разделу: Северный тоннель ( S= 1534,28 м2, в т.ч. : покрытия напольные гранитные-1258,33 м2,  площадки гранитные--147,5 м2, ступени гранитные-26,95 м2,, пандус-70,0 м2, парапет-31,5 м2 )</v>
      </c>
      <c r="B2933" s="42"/>
      <c r="C2933" s="42"/>
      <c r="D2933" s="42"/>
      <c r="E2933" s="42"/>
      <c r="F2933" s="42"/>
      <c r="G2933" s="42"/>
      <c r="H2933" s="42"/>
      <c r="I2933" s="43">
        <f>SUM(AA2863:AA2932)</f>
        <v>564263.44999999995</v>
      </c>
      <c r="J2933" s="44"/>
      <c r="K2933" s="47"/>
      <c r="L2933" s="38">
        <f>I2933</f>
        <v>564263.44999999995</v>
      </c>
      <c r="M2933" s="2">
        <f>M2883+M2904+M2930</f>
        <v>407514.93</v>
      </c>
      <c r="N2933" s="2">
        <f>N2883+N2904+N2930</f>
        <v>465731.35</v>
      </c>
      <c r="O2933" s="2">
        <f>ROUND(N2933*0.05,2)</f>
        <v>23286.57</v>
      </c>
      <c r="P2933" s="2">
        <f>SUM(P2883:P2930)</f>
        <v>489017.92</v>
      </c>
      <c r="Q2933" s="48"/>
      <c r="R2933">
        <v>2</v>
      </c>
      <c r="AQ2933" s="46" t="str">
        <f>CONCATENATE("Итого по разделу: ",IF([1]Source!G2992&lt;&gt;"Новый раздел", [1]Source!G2992, ""))</f>
        <v>Итого по разделу: Северный тоннель ( S= 1534,28 м2, в т.ч. : покрытия напольные гранитные-1258,33 м2,  площадки гранитные--147,5 м2, ступени гранитные-26,95 м2,, пандус-70,0 м2, парапет-31,5 м2 )</v>
      </c>
    </row>
    <row r="2934" spans="1:43" x14ac:dyDescent="0.2">
      <c r="M2934"/>
      <c r="N2934"/>
      <c r="O2934"/>
      <c r="P2934"/>
      <c r="Q2934"/>
    </row>
    <row r="2935" spans="1:43" x14ac:dyDescent="0.2">
      <c r="M2935"/>
      <c r="N2935"/>
      <c r="O2935"/>
      <c r="P2935"/>
      <c r="Q2935"/>
    </row>
    <row r="2936" spans="1:43" ht="16.5" x14ac:dyDescent="0.25">
      <c r="A2936" s="29" t="str">
        <f>CONCATENATE("Раздел: ",IF([1]Source!G3022&lt;&gt;"Новый раздел", [1]Source!G3022, ""))</f>
        <v>Раздел: Содержание парковых лестниц ( S=3084 м2 )</v>
      </c>
      <c r="B2936" s="29"/>
      <c r="C2936" s="29"/>
      <c r="D2936" s="29"/>
      <c r="E2936" s="29"/>
      <c r="F2936" s="29"/>
      <c r="G2936" s="29"/>
      <c r="H2936" s="29"/>
      <c r="I2936" s="29"/>
      <c r="J2936" s="29"/>
      <c r="K2936" s="29"/>
      <c r="M2936"/>
      <c r="N2936"/>
      <c r="O2936"/>
      <c r="P2936"/>
      <c r="Q2936"/>
    </row>
    <row r="2937" spans="1:43" ht="28.5" x14ac:dyDescent="0.2">
      <c r="A2937" s="31">
        <v>385</v>
      </c>
      <c r="B2937" s="31" t="str">
        <f>[1]Source!F3026</f>
        <v>5.3-1101-13-1/1</v>
      </c>
      <c r="C2937" s="31" t="str">
        <f>[1]Source!G3026</f>
        <v>Подметание вручную дорожек и площадок с твердым покрытием</v>
      </c>
      <c r="D2937" s="32" t="str">
        <f>[1]Source!H3026</f>
        <v>100 м2</v>
      </c>
      <c r="E2937" s="4">
        <f>[1]Source!I3026</f>
        <v>30.84</v>
      </c>
      <c r="F2937" s="33"/>
      <c r="G2937" s="34"/>
      <c r="H2937" s="4"/>
      <c r="I2937" s="4"/>
      <c r="J2937" s="33"/>
      <c r="K2937" s="33"/>
      <c r="M2937"/>
      <c r="N2937"/>
      <c r="O2937"/>
      <c r="P2937"/>
      <c r="Q2937"/>
      <c r="AB2937">
        <f>ROUND(([1]Source!BZ3026/100)*ROUND(([1]Source!AF3026*[1]Source!AV3026)*[1]Source!I3026, 2), 2)</f>
        <v>596458.30000000005</v>
      </c>
      <c r="AC2937">
        <f>[1]Source!X3026</f>
        <v>596458.30000000005</v>
      </c>
      <c r="AD2937">
        <f>ROUND(([1]Source!CA3026/100)*ROUND(([1]Source!AF3026*[1]Source!AV3026)*[1]Source!I3026, 2), 2)</f>
        <v>85208.33</v>
      </c>
      <c r="AE2937">
        <f>[1]Source!Y3026</f>
        <v>85208.33</v>
      </c>
      <c r="AF2937">
        <f>ROUND((175/100)*ROUND(([1]Source!AE3026*[1]Source!AV3026)*[1]Source!I3026, 2), 2)</f>
        <v>0</v>
      </c>
      <c r="AG2937">
        <f>ROUND((108/100)*ROUND([1]Source!CS3026*[1]Source!I3026, 2), 2)</f>
        <v>0</v>
      </c>
    </row>
    <row r="2938" spans="1:43" x14ac:dyDescent="0.2">
      <c r="C2938" s="40" t="str">
        <f>"Объем: "&amp;[1]Source!I3026&amp;"=3084/"&amp;"100"</f>
        <v>Объем: 30,84=3084/100</v>
      </c>
      <c r="M2938"/>
      <c r="N2938"/>
      <c r="O2938"/>
      <c r="P2938"/>
      <c r="Q2938"/>
    </row>
    <row r="2939" spans="1:43" ht="14.25" x14ac:dyDescent="0.2">
      <c r="A2939" s="31"/>
      <c r="B2939" s="31"/>
      <c r="C2939" s="31" t="s">
        <v>34</v>
      </c>
      <c r="D2939" s="32"/>
      <c r="E2939" s="4"/>
      <c r="F2939" s="33">
        <f>[1]Source!AO3026</f>
        <v>34.71</v>
      </c>
      <c r="G2939" s="34" t="str">
        <f>[1]Source!DG3026</f>
        <v>)*2*398</v>
      </c>
      <c r="H2939" s="4">
        <f>[1]Source!AV3026</f>
        <v>1</v>
      </c>
      <c r="I2939" s="4">
        <f>IF([1]Source!BA3026&lt;&gt; 0, [1]Source!BA3026, 1)</f>
        <v>1</v>
      </c>
      <c r="J2939" s="33">
        <f>[1]Source!S3026</f>
        <v>852083.29</v>
      </c>
      <c r="K2939" s="33"/>
      <c r="M2939"/>
      <c r="N2939"/>
      <c r="O2939"/>
      <c r="P2939"/>
      <c r="Q2939"/>
    </row>
    <row r="2940" spans="1:43" ht="14.25" x14ac:dyDescent="0.2">
      <c r="A2940" s="31"/>
      <c r="B2940" s="31"/>
      <c r="C2940" s="31" t="s">
        <v>40</v>
      </c>
      <c r="D2940" s="32" t="s">
        <v>39</v>
      </c>
      <c r="E2940" s="4">
        <f>[1]Source!AT3026</f>
        <v>70</v>
      </c>
      <c r="F2940" s="33"/>
      <c r="G2940" s="34"/>
      <c r="H2940" s="4"/>
      <c r="I2940" s="4"/>
      <c r="J2940" s="33">
        <f>SUM(AC2937:AC2939)</f>
        <v>596458.30000000005</v>
      </c>
      <c r="K2940" s="33"/>
      <c r="M2940"/>
      <c r="N2940"/>
      <c r="O2940"/>
      <c r="P2940"/>
      <c r="Q2940"/>
    </row>
    <row r="2941" spans="1:43" ht="14.25" x14ac:dyDescent="0.2">
      <c r="A2941" s="31"/>
      <c r="B2941" s="31"/>
      <c r="C2941" s="31" t="s">
        <v>41</v>
      </c>
      <c r="D2941" s="32" t="s">
        <v>39</v>
      </c>
      <c r="E2941" s="4">
        <f>[1]Source!AU3026</f>
        <v>10</v>
      </c>
      <c r="F2941" s="33"/>
      <c r="G2941" s="34"/>
      <c r="H2941" s="4"/>
      <c r="I2941" s="4"/>
      <c r="J2941" s="33">
        <f>SUM(AE2937:AE2940)</f>
        <v>85208.33</v>
      </c>
      <c r="K2941" s="33"/>
      <c r="M2941"/>
      <c r="N2941"/>
      <c r="O2941"/>
      <c r="P2941"/>
      <c r="Q2941"/>
    </row>
    <row r="2942" spans="1:43" ht="14.25" x14ac:dyDescent="0.2">
      <c r="A2942" s="31"/>
      <c r="B2942" s="31"/>
      <c r="C2942" s="31" t="s">
        <v>42</v>
      </c>
      <c r="D2942" s="32" t="s">
        <v>43</v>
      </c>
      <c r="E2942" s="4">
        <f>[1]Source!AQ3026</f>
        <v>0.14000000000000001</v>
      </c>
      <c r="F2942" s="33"/>
      <c r="G2942" s="34" t="str">
        <f>[1]Source!DI3026</f>
        <v>)*2*398</v>
      </c>
      <c r="H2942" s="4">
        <f>[1]Source!AV3026</f>
        <v>1</v>
      </c>
      <c r="I2942" s="4"/>
      <c r="J2942" s="33"/>
      <c r="K2942" s="33">
        <f>[1]Source!U3026</f>
        <v>3436.8096000000005</v>
      </c>
      <c r="M2942"/>
      <c r="N2942"/>
      <c r="O2942"/>
      <c r="P2942"/>
      <c r="Q2942"/>
    </row>
    <row r="2943" spans="1:43" ht="15" x14ac:dyDescent="0.25">
      <c r="A2943" s="35"/>
      <c r="B2943" s="35"/>
      <c r="C2943" s="35"/>
      <c r="D2943" s="35"/>
      <c r="E2943" s="35"/>
      <c r="F2943" s="35"/>
      <c r="G2943" s="35"/>
      <c r="H2943" s="35"/>
      <c r="I2943" s="36">
        <f>J2939+J2940+J2941</f>
        <v>1533749.9200000002</v>
      </c>
      <c r="J2943" s="36"/>
      <c r="K2943" s="37">
        <f>IF([1]Source!I3026&lt;&gt;0, ROUND(I2943/[1]Source!I3026, 2), 0)</f>
        <v>49732.49</v>
      </c>
      <c r="M2943"/>
      <c r="N2943"/>
      <c r="O2943"/>
      <c r="P2943"/>
      <c r="Q2943"/>
      <c r="AA2943" s="38">
        <f>I2943</f>
        <v>1533749.9200000002</v>
      </c>
    </row>
    <row r="2944" spans="1:43" ht="28.5" x14ac:dyDescent="0.2">
      <c r="A2944" s="31">
        <v>386</v>
      </c>
      <c r="B2944" s="31" t="str">
        <f>[1]Source!F3027</f>
        <v>5.3-1101-14-1/1</v>
      </c>
      <c r="C2944" s="31" t="str">
        <f>[1]Source!G3027</f>
        <v>Полив дорожек из шланга вручную( промывка пролета)</v>
      </c>
      <c r="D2944" s="32" t="str">
        <f>[1]Source!H3027</f>
        <v>100 м2</v>
      </c>
      <c r="E2944" s="4">
        <f>[1]Source!I3027</f>
        <v>30.84</v>
      </c>
      <c r="F2944" s="33"/>
      <c r="G2944" s="34"/>
      <c r="H2944" s="4"/>
      <c r="I2944" s="4"/>
      <c r="J2944" s="33"/>
      <c r="K2944" s="33"/>
      <c r="M2944"/>
      <c r="N2944"/>
      <c r="O2944"/>
      <c r="P2944"/>
      <c r="Q2944"/>
      <c r="AB2944">
        <f>ROUND(([1]Source!BZ3027/100)*ROUND(([1]Source!AF3027*[1]Source!AV3027)*[1]Source!I3027, 2), 2)</f>
        <v>40355.32</v>
      </c>
      <c r="AC2944">
        <f>[1]Source!X3027</f>
        <v>40355.32</v>
      </c>
      <c r="AD2944">
        <f>ROUND(([1]Source!CA3027/100)*ROUND(([1]Source!AF3027*[1]Source!AV3027)*[1]Source!I3027, 2), 2)</f>
        <v>5765.05</v>
      </c>
      <c r="AE2944">
        <f>[1]Source!Y3027</f>
        <v>5765.05</v>
      </c>
      <c r="AF2944">
        <f>ROUND((175/100)*ROUND(([1]Source!AE3027*[1]Source!AV3027)*[1]Source!I3027, 2), 2)</f>
        <v>0</v>
      </c>
      <c r="AG2944">
        <f>ROUND((108/100)*ROUND([1]Source!CS3027*[1]Source!I3027, 2), 2)</f>
        <v>0</v>
      </c>
    </row>
    <row r="2945" spans="1:42" x14ac:dyDescent="0.2">
      <c r="C2945" s="40" t="str">
        <f>"Объем: "&amp;[1]Source!I3027&amp;"=3084/"&amp;"100"</f>
        <v>Объем: 30,84=3084/100</v>
      </c>
      <c r="M2945"/>
      <c r="N2945"/>
      <c r="O2945"/>
      <c r="P2945"/>
      <c r="Q2945"/>
    </row>
    <row r="2946" spans="1:42" ht="14.25" x14ac:dyDescent="0.2">
      <c r="A2946" s="31"/>
      <c r="B2946" s="31"/>
      <c r="C2946" s="31" t="s">
        <v>34</v>
      </c>
      <c r="D2946" s="32"/>
      <c r="E2946" s="4"/>
      <c r="F2946" s="33">
        <f>[1]Source!AO3027</f>
        <v>32.229999999999997</v>
      </c>
      <c r="G2946" s="34" t="str">
        <f>[1]Source!DG3027</f>
        <v>)*1*58</v>
      </c>
      <c r="H2946" s="4">
        <f>[1]Source!AV3027</f>
        <v>1</v>
      </c>
      <c r="I2946" s="4">
        <f>IF([1]Source!BA3027&lt;&gt; 0, [1]Source!BA3027, 1)</f>
        <v>1</v>
      </c>
      <c r="J2946" s="33">
        <f>[1]Source!S3027</f>
        <v>57650.45</v>
      </c>
      <c r="K2946" s="33"/>
      <c r="M2946"/>
      <c r="N2946"/>
      <c r="O2946"/>
      <c r="P2946"/>
      <c r="Q2946"/>
    </row>
    <row r="2947" spans="1:42" ht="14.25" x14ac:dyDescent="0.2">
      <c r="A2947" s="31"/>
      <c r="B2947" s="31"/>
      <c r="C2947" s="31" t="s">
        <v>47</v>
      </c>
      <c r="D2947" s="32"/>
      <c r="E2947" s="4"/>
      <c r="F2947" s="33">
        <f>[1]Source!AL3027</f>
        <v>4.24</v>
      </c>
      <c r="G2947" s="34" t="str">
        <f>[1]Source!DD3027</f>
        <v>)*1*58</v>
      </c>
      <c r="H2947" s="4">
        <f>[1]Source!AW3027</f>
        <v>1</v>
      </c>
      <c r="I2947" s="4">
        <f>IF([1]Source!BC3027&lt;&gt; 0, [1]Source!BC3027, 1)</f>
        <v>1</v>
      </c>
      <c r="J2947" s="33">
        <f>[1]Source!P3027</f>
        <v>7584.17</v>
      </c>
      <c r="K2947" s="33"/>
      <c r="M2947"/>
      <c r="N2947"/>
      <c r="O2947"/>
      <c r="P2947"/>
      <c r="Q2947"/>
    </row>
    <row r="2948" spans="1:42" ht="14.25" x14ac:dyDescent="0.2">
      <c r="A2948" s="31" t="s">
        <v>130</v>
      </c>
      <c r="B2948" s="31" t="str">
        <f>[1]Source!F3028</f>
        <v>21.1-25-13</v>
      </c>
      <c r="C2948" s="31" t="str">
        <f>[1]Source!G3028</f>
        <v>Вода</v>
      </c>
      <c r="D2948" s="32" t="str">
        <f>[1]Source!H3028</f>
        <v>м3</v>
      </c>
      <c r="E2948" s="4">
        <f>[1]Source!I3028</f>
        <v>-178.87200000000001</v>
      </c>
      <c r="F2948" s="33">
        <f>[1]Source!AK3028</f>
        <v>42.44</v>
      </c>
      <c r="G2948" s="39" t="s">
        <v>121</v>
      </c>
      <c r="H2948" s="4">
        <f>[1]Source!AW3028</f>
        <v>1</v>
      </c>
      <c r="I2948" s="4">
        <f>IF([1]Source!BC3028&lt;&gt; 0, [1]Source!BC3028, 1)</f>
        <v>1</v>
      </c>
      <c r="J2948" s="33">
        <f>[1]Source!O3028</f>
        <v>-7591.33</v>
      </c>
      <c r="K2948" s="33"/>
      <c r="M2948"/>
      <c r="N2948"/>
      <c r="O2948"/>
      <c r="P2948"/>
      <c r="Q2948"/>
      <c r="AB2948">
        <f>ROUND(([1]Source!BZ3028/100)*ROUND(([1]Source!AF3028*[1]Source!AV3028)*[1]Source!I3028, 2), 2)</f>
        <v>0</v>
      </c>
      <c r="AC2948">
        <f>[1]Source!X3028</f>
        <v>0</v>
      </c>
      <c r="AD2948">
        <f>ROUND(([1]Source!CA3028/100)*ROUND(([1]Source!AF3028*[1]Source!AV3028)*[1]Source!I3028, 2), 2)</f>
        <v>0</v>
      </c>
      <c r="AE2948">
        <f>[1]Source!Y3028</f>
        <v>0</v>
      </c>
      <c r="AF2948">
        <f>ROUND((175/100)*ROUND(([1]Source!AE3028*[1]Source!AV3028)*[1]Source!I3028, 2), 2)</f>
        <v>0</v>
      </c>
      <c r="AG2948">
        <f>ROUND((108/100)*ROUND([1]Source!CS3028*[1]Source!I3028, 2), 2)</f>
        <v>0</v>
      </c>
    </row>
    <row r="2949" spans="1:42" ht="14.25" x14ac:dyDescent="0.2">
      <c r="A2949" s="31"/>
      <c r="B2949" s="31"/>
      <c r="C2949" s="31" t="s">
        <v>40</v>
      </c>
      <c r="D2949" s="32" t="s">
        <v>39</v>
      </c>
      <c r="E2949" s="4">
        <f>[1]Source!AT3027</f>
        <v>70</v>
      </c>
      <c r="F2949" s="33"/>
      <c r="G2949" s="34"/>
      <c r="H2949" s="4"/>
      <c r="I2949" s="4"/>
      <c r="J2949" s="33">
        <f>SUM(AC2944:AC2948)</f>
        <v>40355.32</v>
      </c>
      <c r="K2949" s="33"/>
      <c r="M2949"/>
      <c r="N2949"/>
      <c r="O2949"/>
      <c r="P2949"/>
      <c r="Q2949"/>
    </row>
    <row r="2950" spans="1:42" ht="14.25" x14ac:dyDescent="0.2">
      <c r="A2950" s="31"/>
      <c r="B2950" s="31"/>
      <c r="C2950" s="31" t="s">
        <v>41</v>
      </c>
      <c r="D2950" s="32" t="s">
        <v>39</v>
      </c>
      <c r="E2950" s="4">
        <f>[1]Source!AU3027</f>
        <v>10</v>
      </c>
      <c r="F2950" s="33"/>
      <c r="G2950" s="34"/>
      <c r="H2950" s="4"/>
      <c r="I2950" s="4"/>
      <c r="J2950" s="33">
        <f>SUM(AE2944:AE2949)</f>
        <v>5765.05</v>
      </c>
      <c r="K2950" s="33"/>
      <c r="M2950"/>
      <c r="N2950"/>
      <c r="O2950"/>
      <c r="P2950"/>
      <c r="Q2950"/>
    </row>
    <row r="2951" spans="1:42" ht="14.25" x14ac:dyDescent="0.2">
      <c r="A2951" s="31"/>
      <c r="B2951" s="31"/>
      <c r="C2951" s="31" t="s">
        <v>42</v>
      </c>
      <c r="D2951" s="32" t="s">
        <v>43</v>
      </c>
      <c r="E2951" s="4">
        <f>[1]Source!AQ3027</f>
        <v>0.13</v>
      </c>
      <c r="F2951" s="33"/>
      <c r="G2951" s="34" t="str">
        <f>[1]Source!DI3027</f>
        <v>)*1*58</v>
      </c>
      <c r="H2951" s="4">
        <f>[1]Source!AV3027</f>
        <v>1</v>
      </c>
      <c r="I2951" s="4"/>
      <c r="J2951" s="33"/>
      <c r="K2951" s="33">
        <f>[1]Source!U3027</f>
        <v>232.53360000000001</v>
      </c>
      <c r="M2951"/>
      <c r="N2951"/>
      <c r="O2951"/>
      <c r="P2951"/>
      <c r="Q2951"/>
    </row>
    <row r="2952" spans="1:42" ht="15" x14ac:dyDescent="0.25">
      <c r="A2952" s="35"/>
      <c r="B2952" s="35"/>
      <c r="C2952" s="35"/>
      <c r="D2952" s="35"/>
      <c r="E2952" s="35"/>
      <c r="F2952" s="35"/>
      <c r="G2952" s="35"/>
      <c r="H2952" s="35"/>
      <c r="I2952" s="36">
        <f>J2946+J2947+J2949+J2950+SUM(J2948:J2948)</f>
        <v>103763.66</v>
      </c>
      <c r="J2952" s="36"/>
      <c r="K2952" s="37">
        <f>IF([1]Source!I3027&lt;&gt;0, ROUND(I2952/[1]Source!I3027, 2), 0)</f>
        <v>3364.58</v>
      </c>
      <c r="M2952"/>
      <c r="N2952"/>
      <c r="O2952"/>
      <c r="P2952"/>
      <c r="Q2952"/>
      <c r="AA2952" s="38">
        <f>I2952</f>
        <v>103763.66</v>
      </c>
    </row>
    <row r="2953" spans="1:42" x14ac:dyDescent="0.2">
      <c r="M2953"/>
      <c r="N2953"/>
      <c r="O2953"/>
      <c r="P2953"/>
      <c r="Q2953"/>
    </row>
    <row r="2954" spans="1:42" ht="15" x14ac:dyDescent="0.25">
      <c r="A2954" s="42" t="str">
        <f>CONCATENATE("Итого по разделу: ",IF([1]Source!G3030&lt;&gt;"Новый раздел", [1]Source!G3030, ""))</f>
        <v>Итого по разделу: Содержание парковых лестниц ( S=3084 м2 )</v>
      </c>
      <c r="B2954" s="42"/>
      <c r="C2954" s="42"/>
      <c r="D2954" s="42"/>
      <c r="E2954" s="42"/>
      <c r="F2954" s="42"/>
      <c r="G2954" s="42"/>
      <c r="H2954" s="42"/>
      <c r="I2954" s="43">
        <f>SUM(AA2936:AA2953)</f>
        <v>1637513.58</v>
      </c>
      <c r="J2954" s="44"/>
      <c r="K2954" s="47"/>
      <c r="L2954" s="38">
        <f>I2954</f>
        <v>1637513.58</v>
      </c>
      <c r="M2954" s="2">
        <f>ROUND(I2954*$I$4874,2)</f>
        <v>1182623.52</v>
      </c>
      <c r="N2954" s="2">
        <f>ROUND(M2954*1.2/105*100,2)</f>
        <v>1351569.74</v>
      </c>
      <c r="O2954" s="2">
        <f>ROUND(N2954*0.05,2)</f>
        <v>67578.490000000005</v>
      </c>
      <c r="P2954" s="2">
        <f>N2954+O2954</f>
        <v>1419148.23</v>
      </c>
      <c r="Q2954" s="3">
        <v>84</v>
      </c>
      <c r="R2954">
        <v>2</v>
      </c>
      <c r="S2954" s="2">
        <v>0</v>
      </c>
    </row>
    <row r="2955" spans="1:42" x14ac:dyDescent="0.2">
      <c r="M2955"/>
      <c r="N2955"/>
      <c r="O2955"/>
      <c r="P2955"/>
      <c r="Q2955"/>
    </row>
    <row r="2956" spans="1:42" x14ac:dyDescent="0.2">
      <c r="M2956"/>
      <c r="N2956"/>
      <c r="O2956"/>
      <c r="P2956"/>
      <c r="Q2956"/>
    </row>
    <row r="2957" spans="1:42" ht="49.5" x14ac:dyDescent="0.25">
      <c r="A2957" s="29" t="str">
        <f>CONCATENATE("Раздел: ",IF([1]Source!G3060&lt;&gt;"Новый раздел", [1]Source!G3060, ""))</f>
        <v>Раздел: Содержание  лавочек  " Большого амфитеатра " и " Малого амфитеатра" из бруса ( Sобщая = 613,69 м2, ;в т.ч. S=367,35 м2-лавочки " Большого амфитеатра", S= 246,34 м2- лавочки "Малого амфитеатра", S= 831,77 м2-гранитная облицовка двух амфитеатров ).</v>
      </c>
      <c r="B2957" s="29"/>
      <c r="C2957" s="29"/>
      <c r="D2957" s="29"/>
      <c r="E2957" s="29"/>
      <c r="F2957" s="29"/>
      <c r="G2957" s="29"/>
      <c r="H2957" s="29"/>
      <c r="I2957" s="29"/>
      <c r="J2957" s="29"/>
      <c r="K2957" s="29"/>
      <c r="M2957"/>
      <c r="N2957"/>
      <c r="O2957"/>
      <c r="P2957"/>
      <c r="Q2957"/>
      <c r="AP2957" s="30" t="str">
        <f>CONCATENATE("Раздел: ",IF([1]Source!G3060&lt;&gt;"Новый раздел", [1]Source!G3060, ""))</f>
        <v>Раздел: Содержание  лавочек  " Большого амфитеатра " и " Малого амфитеатра" из бруса ( Sобщая = 613,69 м2, ;в т.ч. S=367,35 м2-лавочки " Большого амфитеатра", S= 246,34 м2- лавочки "Малого амфитеатра", S= 831,77 м2-гранитная облицовка двух амфитеатров ).</v>
      </c>
    </row>
    <row r="2958" spans="1:42" ht="14.25" x14ac:dyDescent="0.2">
      <c r="A2958" s="31">
        <v>387</v>
      </c>
      <c r="B2958" s="31" t="str">
        <f>[1]Source!F3064</f>
        <v>5.3-1101-10-1/1</v>
      </c>
      <c r="C2958" s="31" t="str">
        <f>[1]Source!G3064</f>
        <v>Протирка садовых диванов и скамеек</v>
      </c>
      <c r="D2958" s="32" t="str">
        <f>[1]Source!H3064</f>
        <v>100 м2</v>
      </c>
      <c r="E2958" s="4">
        <f>[1]Source!I3064</f>
        <v>6.1368999999999998</v>
      </c>
      <c r="F2958" s="33"/>
      <c r="G2958" s="34"/>
      <c r="H2958" s="4"/>
      <c r="I2958" s="4"/>
      <c r="J2958" s="33"/>
      <c r="K2958" s="33"/>
      <c r="M2958"/>
      <c r="N2958"/>
      <c r="O2958"/>
      <c r="P2958"/>
      <c r="Q2958"/>
      <c r="AB2958">
        <f>ROUND(([1]Source!BZ3064/100)*ROUND(([1]Source!AF3064*[1]Source!AV3064)*[1]Source!I3064, 2), 2)</f>
        <v>738088.72</v>
      </c>
      <c r="AC2958">
        <f>[1]Source!X3064</f>
        <v>738088.72</v>
      </c>
      <c r="AD2958">
        <f>ROUND(([1]Source!CA3064/100)*ROUND(([1]Source!AF3064*[1]Source!AV3064)*[1]Source!I3064, 2), 2)</f>
        <v>105441.25</v>
      </c>
      <c r="AE2958">
        <f>[1]Source!Y3064</f>
        <v>105441.25</v>
      </c>
      <c r="AF2958">
        <f>ROUND((175/100)*ROUND(([1]Source!AE3064*[1]Source!AV3064)*[1]Source!I3064, 2), 2)</f>
        <v>0</v>
      </c>
      <c r="AG2958">
        <f>ROUND((108/100)*ROUND([1]Source!CS3064*[1]Source!I3064, 2), 2)</f>
        <v>0</v>
      </c>
    </row>
    <row r="2959" spans="1:42" x14ac:dyDescent="0.2">
      <c r="C2959" s="40" t="str">
        <f>"Объем: "&amp;[1]Source!I3064&amp;"=613,69/"&amp;"100"</f>
        <v>Объем: 6,1369=613,69/100</v>
      </c>
      <c r="M2959"/>
      <c r="N2959"/>
      <c r="O2959"/>
      <c r="P2959"/>
      <c r="Q2959"/>
    </row>
    <row r="2960" spans="1:42" ht="14.25" x14ac:dyDescent="0.2">
      <c r="A2960" s="31"/>
      <c r="B2960" s="31"/>
      <c r="C2960" s="31" t="s">
        <v>34</v>
      </c>
      <c r="D2960" s="32"/>
      <c r="E2960" s="4"/>
      <c r="F2960" s="33">
        <f>[1]Source!AO3064</f>
        <v>1301.6300000000001</v>
      </c>
      <c r="G2960" s="34" t="str">
        <f>[1]Source!DG3064</f>
        <v>)*1*132</v>
      </c>
      <c r="H2960" s="4">
        <f>[1]Source!AV3064</f>
        <v>1</v>
      </c>
      <c r="I2960" s="4">
        <f>IF([1]Source!BA3064&lt;&gt; 0, [1]Source!BA3064, 1)</f>
        <v>1</v>
      </c>
      <c r="J2960" s="33">
        <f>[1]Source!S3064</f>
        <v>1054412.46</v>
      </c>
      <c r="K2960" s="33"/>
      <c r="M2960"/>
      <c r="N2960"/>
      <c r="O2960"/>
      <c r="P2960"/>
      <c r="Q2960"/>
    </row>
    <row r="2961" spans="1:33" ht="14.25" x14ac:dyDescent="0.2">
      <c r="A2961" s="31"/>
      <c r="B2961" s="31"/>
      <c r="C2961" s="31" t="s">
        <v>47</v>
      </c>
      <c r="D2961" s="32"/>
      <c r="E2961" s="4"/>
      <c r="F2961" s="33">
        <f>[1]Source!AL3064</f>
        <v>2.71</v>
      </c>
      <c r="G2961" s="34" t="str">
        <f>[1]Source!DD3064</f>
        <v>)*1*132</v>
      </c>
      <c r="H2961" s="4">
        <f>[1]Source!AW3064</f>
        <v>1</v>
      </c>
      <c r="I2961" s="4">
        <f>IF([1]Source!BC3064&lt;&gt; 0, [1]Source!BC3064, 1)</f>
        <v>1</v>
      </c>
      <c r="J2961" s="33">
        <f>[1]Source!P3064</f>
        <v>2195.29</v>
      </c>
      <c r="K2961" s="33"/>
      <c r="M2961"/>
      <c r="N2961"/>
      <c r="O2961"/>
      <c r="P2961"/>
      <c r="Q2961"/>
    </row>
    <row r="2962" spans="1:33" ht="14.25" x14ac:dyDescent="0.2">
      <c r="A2962" s="31" t="s">
        <v>131</v>
      </c>
      <c r="B2962" s="31" t="str">
        <f>[1]Source!F3065</f>
        <v>21.1-25-13</v>
      </c>
      <c r="C2962" s="31" t="str">
        <f>[1]Source!G3065</f>
        <v>Вода</v>
      </c>
      <c r="D2962" s="32" t="str">
        <f>[1]Source!H3065</f>
        <v>м3</v>
      </c>
      <c r="E2962" s="4">
        <f>[1]Source!I3065</f>
        <v>-8.1007079999999991</v>
      </c>
      <c r="F2962" s="33">
        <f>[1]Source!AK3065</f>
        <v>42.44</v>
      </c>
      <c r="G2962" s="39" t="s">
        <v>132</v>
      </c>
      <c r="H2962" s="4">
        <f>[1]Source!AW3065</f>
        <v>1</v>
      </c>
      <c r="I2962" s="4">
        <f>IF([1]Source!BC3065&lt;&gt; 0, [1]Source!BC3065, 1)</f>
        <v>1</v>
      </c>
      <c r="J2962" s="33">
        <f>[1]Source!O3065</f>
        <v>-343.79</v>
      </c>
      <c r="K2962" s="33"/>
      <c r="M2962"/>
      <c r="N2962"/>
      <c r="O2962"/>
      <c r="P2962"/>
      <c r="Q2962"/>
      <c r="AB2962">
        <f>ROUND(([1]Source!BZ3065/100)*ROUND(([1]Source!AF3065*[1]Source!AV3065)*[1]Source!I3065, 2), 2)</f>
        <v>0</v>
      </c>
      <c r="AC2962">
        <f>[1]Source!X3065</f>
        <v>0</v>
      </c>
      <c r="AD2962">
        <f>ROUND(([1]Source!CA3065/100)*ROUND(([1]Source!AF3065*[1]Source!AV3065)*[1]Source!I3065, 2), 2)</f>
        <v>0</v>
      </c>
      <c r="AE2962">
        <f>[1]Source!Y3065</f>
        <v>0</v>
      </c>
      <c r="AF2962">
        <f>ROUND((175/100)*ROUND(([1]Source!AE3065*[1]Source!AV3065)*[1]Source!I3065, 2), 2)</f>
        <v>0</v>
      </c>
      <c r="AG2962">
        <f>ROUND((108/100)*ROUND([1]Source!CS3065*[1]Source!I3065, 2), 2)</f>
        <v>0</v>
      </c>
    </row>
    <row r="2963" spans="1:33" ht="14.25" x14ac:dyDescent="0.2">
      <c r="A2963" s="31"/>
      <c r="B2963" s="31"/>
      <c r="C2963" s="31" t="s">
        <v>40</v>
      </c>
      <c r="D2963" s="32" t="s">
        <v>39</v>
      </c>
      <c r="E2963" s="4">
        <f>[1]Source!AT3064</f>
        <v>70</v>
      </c>
      <c r="F2963" s="33"/>
      <c r="G2963" s="34"/>
      <c r="H2963" s="4"/>
      <c r="I2963" s="4"/>
      <c r="J2963" s="33">
        <f>SUM(AC2958:AC2962)</f>
        <v>738088.72</v>
      </c>
      <c r="K2963" s="33"/>
      <c r="M2963"/>
      <c r="N2963"/>
      <c r="O2963"/>
      <c r="P2963"/>
      <c r="Q2963"/>
    </row>
    <row r="2964" spans="1:33" ht="14.25" x14ac:dyDescent="0.2">
      <c r="A2964" s="31"/>
      <c r="B2964" s="31"/>
      <c r="C2964" s="31" t="s">
        <v>41</v>
      </c>
      <c r="D2964" s="32" t="s">
        <v>39</v>
      </c>
      <c r="E2964" s="4">
        <f>[1]Source!AU3064</f>
        <v>10</v>
      </c>
      <c r="F2964" s="33"/>
      <c r="G2964" s="34"/>
      <c r="H2964" s="4"/>
      <c r="I2964" s="4"/>
      <c r="J2964" s="33">
        <f>SUM(AE2958:AE2963)</f>
        <v>105441.25</v>
      </c>
      <c r="K2964" s="33"/>
      <c r="M2964"/>
      <c r="N2964"/>
      <c r="O2964"/>
      <c r="P2964"/>
      <c r="Q2964"/>
    </row>
    <row r="2965" spans="1:33" ht="14.25" x14ac:dyDescent="0.2">
      <c r="A2965" s="31"/>
      <c r="B2965" s="31"/>
      <c r="C2965" s="31" t="s">
        <v>42</v>
      </c>
      <c r="D2965" s="32" t="s">
        <v>43</v>
      </c>
      <c r="E2965" s="4">
        <f>[1]Source!AQ3064</f>
        <v>5.25</v>
      </c>
      <c r="F2965" s="33"/>
      <c r="G2965" s="34" t="str">
        <f>[1]Source!DI3064</f>
        <v>)*1*132</v>
      </c>
      <c r="H2965" s="4">
        <f>[1]Source!AV3064</f>
        <v>1</v>
      </c>
      <c r="I2965" s="4"/>
      <c r="J2965" s="33"/>
      <c r="K2965" s="33">
        <f>[1]Source!U3064</f>
        <v>4252.8716999999997</v>
      </c>
      <c r="M2965"/>
      <c r="N2965"/>
      <c r="O2965"/>
      <c r="P2965"/>
      <c r="Q2965"/>
    </row>
    <row r="2966" spans="1:33" ht="15" x14ac:dyDescent="0.25">
      <c r="A2966" s="35"/>
      <c r="B2966" s="35"/>
      <c r="C2966" s="35"/>
      <c r="D2966" s="35"/>
      <c r="E2966" s="35"/>
      <c r="F2966" s="35"/>
      <c r="G2966" s="35"/>
      <c r="H2966" s="35"/>
      <c r="I2966" s="36">
        <f>J2960+J2961+J2963+J2964+SUM(J2962:J2962)</f>
        <v>1899793.93</v>
      </c>
      <c r="J2966" s="36"/>
      <c r="K2966" s="37">
        <f>IF([1]Source!I3064&lt;&gt;0, ROUND(I2966/[1]Source!I3064, 2), 0)</f>
        <v>309568.99</v>
      </c>
      <c r="M2966"/>
      <c r="N2966"/>
      <c r="O2966"/>
      <c r="P2966"/>
      <c r="Q2966"/>
      <c r="AA2966" s="38">
        <f>I2966</f>
        <v>1899793.93</v>
      </c>
    </row>
    <row r="2967" spans="1:33" ht="14.25" x14ac:dyDescent="0.2">
      <c r="A2967" s="31">
        <v>388</v>
      </c>
      <c r="B2967" s="31" t="str">
        <f>[1]Source!F3066</f>
        <v>5.3-1101-9-1/1</v>
      </c>
      <c r="C2967" s="31" t="str">
        <f>[1]Source!G3066</f>
        <v>Мытье садовых диванов и скамеек</v>
      </c>
      <c r="D2967" s="32" t="str">
        <f>[1]Source!H3066</f>
        <v>100 м2</v>
      </c>
      <c r="E2967" s="4">
        <f>[1]Source!I3066</f>
        <v>6.1368999999999998</v>
      </c>
      <c r="F2967" s="33"/>
      <c r="G2967" s="34"/>
      <c r="H2967" s="4"/>
      <c r="I2967" s="4"/>
      <c r="J2967" s="33"/>
      <c r="K2967" s="33"/>
      <c r="M2967"/>
      <c r="N2967"/>
      <c r="O2967"/>
      <c r="P2967"/>
      <c r="Q2967"/>
      <c r="AB2967">
        <f>ROUND(([1]Source!BZ3066/100)*ROUND(([1]Source!AF3066*[1]Source!AV3066)*[1]Source!I3066, 2), 2)</f>
        <v>73617.47</v>
      </c>
      <c r="AC2967">
        <f>[1]Source!X3066</f>
        <v>73617.47</v>
      </c>
      <c r="AD2967">
        <f>ROUND(([1]Source!CA3066/100)*ROUND(([1]Source!AF3066*[1]Source!AV3066)*[1]Source!I3066, 2), 2)</f>
        <v>10516.78</v>
      </c>
      <c r="AE2967">
        <f>[1]Source!Y3066</f>
        <v>10516.78</v>
      </c>
      <c r="AF2967">
        <f>ROUND((175/100)*ROUND(([1]Source!AE3066*[1]Source!AV3066)*[1]Source!I3066, 2), 2)</f>
        <v>0</v>
      </c>
      <c r="AG2967">
        <f>ROUND((108/100)*ROUND([1]Source!CS3066*[1]Source!I3066, 2), 2)</f>
        <v>0</v>
      </c>
    </row>
    <row r="2968" spans="1:33" x14ac:dyDescent="0.2">
      <c r="C2968" s="40" t="str">
        <f>"Объем: "&amp;[1]Source!I3066&amp;"=613,69/"&amp;"100"</f>
        <v>Объем: 6,1369=613,69/100</v>
      </c>
      <c r="M2968"/>
      <c r="N2968"/>
      <c r="O2968"/>
      <c r="P2968"/>
      <c r="Q2968"/>
    </row>
    <row r="2969" spans="1:33" ht="14.25" x14ac:dyDescent="0.2">
      <c r="A2969" s="31"/>
      <c r="B2969" s="31"/>
      <c r="C2969" s="31" t="s">
        <v>34</v>
      </c>
      <c r="D2969" s="32"/>
      <c r="E2969" s="4"/>
      <c r="F2969" s="33">
        <f>[1]Source!AO3066</f>
        <v>1428.08</v>
      </c>
      <c r="G2969" s="34" t="str">
        <f>[1]Source!DG3066</f>
        <v>)*1*12</v>
      </c>
      <c r="H2969" s="4">
        <f>[1]Source!AV3066</f>
        <v>1</v>
      </c>
      <c r="I2969" s="4">
        <f>IF([1]Source!BA3066&lt;&gt; 0, [1]Source!BA3066, 1)</f>
        <v>1</v>
      </c>
      <c r="J2969" s="33">
        <f>[1]Source!S3066</f>
        <v>105167.81</v>
      </c>
      <c r="K2969" s="33"/>
      <c r="M2969"/>
      <c r="N2969"/>
      <c r="O2969"/>
      <c r="P2969"/>
      <c r="Q2969"/>
    </row>
    <row r="2970" spans="1:33" ht="14.25" x14ac:dyDescent="0.2">
      <c r="A2970" s="31"/>
      <c r="B2970" s="31"/>
      <c r="C2970" s="31" t="s">
        <v>47</v>
      </c>
      <c r="D2970" s="32"/>
      <c r="E2970" s="4"/>
      <c r="F2970" s="33">
        <f>[1]Source!AL3066</f>
        <v>5.42</v>
      </c>
      <c r="G2970" s="34" t="str">
        <f>[1]Source!DD3066</f>
        <v>)*1*12</v>
      </c>
      <c r="H2970" s="4">
        <f>[1]Source!AW3066</f>
        <v>1</v>
      </c>
      <c r="I2970" s="4">
        <f>IF([1]Source!BC3066&lt;&gt; 0, [1]Source!BC3066, 1)</f>
        <v>1</v>
      </c>
      <c r="J2970" s="33">
        <f>[1]Source!P3066</f>
        <v>399.14</v>
      </c>
      <c r="K2970" s="33"/>
      <c r="M2970"/>
      <c r="N2970"/>
      <c r="O2970"/>
      <c r="P2970"/>
      <c r="Q2970"/>
    </row>
    <row r="2971" spans="1:33" ht="14.25" x14ac:dyDescent="0.2">
      <c r="A2971" s="31" t="s">
        <v>133</v>
      </c>
      <c r="B2971" s="31" t="str">
        <f>[1]Source!F3067</f>
        <v>21.1-25-13</v>
      </c>
      <c r="C2971" s="31" t="str">
        <f>[1]Source!G3067</f>
        <v>Вода</v>
      </c>
      <c r="D2971" s="32" t="str">
        <f>[1]Source!H3067</f>
        <v>м3</v>
      </c>
      <c r="E2971" s="4">
        <f>[1]Source!I3067</f>
        <v>-1.4728559999999997</v>
      </c>
      <c r="F2971" s="33">
        <f>[1]Source!AK3067</f>
        <v>42.44</v>
      </c>
      <c r="G2971" s="39" t="s">
        <v>134</v>
      </c>
      <c r="H2971" s="4">
        <f>[1]Source!AW3067</f>
        <v>1</v>
      </c>
      <c r="I2971" s="4">
        <f>IF([1]Source!BC3067&lt;&gt; 0, [1]Source!BC3067, 1)</f>
        <v>1</v>
      </c>
      <c r="J2971" s="33">
        <f>[1]Source!O3067</f>
        <v>-62.51</v>
      </c>
      <c r="K2971" s="33"/>
      <c r="M2971"/>
      <c r="N2971"/>
      <c r="O2971"/>
      <c r="P2971"/>
      <c r="Q2971"/>
      <c r="AB2971">
        <f>ROUND(([1]Source!BZ3067/100)*ROUND(([1]Source!AF3067*[1]Source!AV3067)*[1]Source!I3067, 2), 2)</f>
        <v>0</v>
      </c>
      <c r="AC2971">
        <f>[1]Source!X3067</f>
        <v>0</v>
      </c>
      <c r="AD2971">
        <f>ROUND(([1]Source!CA3067/100)*ROUND(([1]Source!AF3067*[1]Source!AV3067)*[1]Source!I3067, 2), 2)</f>
        <v>0</v>
      </c>
      <c r="AE2971">
        <f>[1]Source!Y3067</f>
        <v>0</v>
      </c>
      <c r="AF2971">
        <f>ROUND((175/100)*ROUND(([1]Source!AE3067*[1]Source!AV3067)*[1]Source!I3067, 2), 2)</f>
        <v>0</v>
      </c>
      <c r="AG2971">
        <f>ROUND((108/100)*ROUND([1]Source!CS3067*[1]Source!I3067, 2), 2)</f>
        <v>0</v>
      </c>
    </row>
    <row r="2972" spans="1:33" ht="14.25" x14ac:dyDescent="0.2">
      <c r="A2972" s="31"/>
      <c r="B2972" s="31"/>
      <c r="C2972" s="31" t="s">
        <v>40</v>
      </c>
      <c r="D2972" s="32" t="s">
        <v>39</v>
      </c>
      <c r="E2972" s="4">
        <f>[1]Source!AT3066</f>
        <v>70</v>
      </c>
      <c r="F2972" s="33"/>
      <c r="G2972" s="34"/>
      <c r="H2972" s="4"/>
      <c r="I2972" s="4"/>
      <c r="J2972" s="33">
        <f>SUM(AC2967:AC2971)</f>
        <v>73617.47</v>
      </c>
      <c r="K2972" s="33"/>
      <c r="M2972"/>
      <c r="N2972"/>
      <c r="O2972"/>
      <c r="P2972"/>
      <c r="Q2972"/>
    </row>
    <row r="2973" spans="1:33" ht="14.25" x14ac:dyDescent="0.2">
      <c r="A2973" s="31"/>
      <c r="B2973" s="31"/>
      <c r="C2973" s="31" t="s">
        <v>41</v>
      </c>
      <c r="D2973" s="32" t="s">
        <v>39</v>
      </c>
      <c r="E2973" s="4">
        <f>[1]Source!AU3066</f>
        <v>10</v>
      </c>
      <c r="F2973" s="33"/>
      <c r="G2973" s="34"/>
      <c r="H2973" s="4"/>
      <c r="I2973" s="4"/>
      <c r="J2973" s="33">
        <f>SUM(AE2967:AE2972)</f>
        <v>10516.78</v>
      </c>
      <c r="K2973" s="33"/>
      <c r="M2973"/>
      <c r="N2973"/>
      <c r="O2973"/>
      <c r="P2973"/>
      <c r="Q2973"/>
    </row>
    <row r="2974" spans="1:33" ht="14.25" x14ac:dyDescent="0.2">
      <c r="A2974" s="31"/>
      <c r="B2974" s="31"/>
      <c r="C2974" s="31" t="s">
        <v>42</v>
      </c>
      <c r="D2974" s="32" t="s">
        <v>43</v>
      </c>
      <c r="E2974" s="4">
        <f>[1]Source!AQ3066</f>
        <v>5.76</v>
      </c>
      <c r="F2974" s="33"/>
      <c r="G2974" s="34" t="str">
        <f>[1]Source!DI3066</f>
        <v>)*1*12</v>
      </c>
      <c r="H2974" s="4">
        <f>[1]Source!AV3066</f>
        <v>1</v>
      </c>
      <c r="I2974" s="4"/>
      <c r="J2974" s="33"/>
      <c r="K2974" s="33">
        <f>[1]Source!U3066</f>
        <v>424.18252799999999</v>
      </c>
      <c r="M2974"/>
      <c r="N2974"/>
      <c r="O2974"/>
      <c r="P2974"/>
      <c r="Q2974"/>
    </row>
    <row r="2975" spans="1:33" ht="15" x14ac:dyDescent="0.25">
      <c r="A2975" s="35"/>
      <c r="B2975" s="35"/>
      <c r="C2975" s="35"/>
      <c r="D2975" s="35"/>
      <c r="E2975" s="35"/>
      <c r="F2975" s="35"/>
      <c r="G2975" s="35"/>
      <c r="H2975" s="35"/>
      <c r="I2975" s="36">
        <f>J2969+J2970+J2972+J2973+SUM(J2971:J2971)</f>
        <v>189638.68999999997</v>
      </c>
      <c r="J2975" s="36"/>
      <c r="K2975" s="37">
        <f>IF([1]Source!I3066&lt;&gt;0, ROUND(I2975/[1]Source!I3066, 2), 0)</f>
        <v>30901.38</v>
      </c>
      <c r="M2975"/>
      <c r="N2975"/>
      <c r="O2975"/>
      <c r="P2975"/>
      <c r="Q2975"/>
      <c r="AA2975" s="38">
        <f>I2975</f>
        <v>189638.68999999997</v>
      </c>
    </row>
    <row r="2976" spans="1:33" ht="57" x14ac:dyDescent="0.2">
      <c r="A2976" s="31">
        <v>389</v>
      </c>
      <c r="B2976" s="31" t="str">
        <f>[1]Source!F3068</f>
        <v>5.3-1101-5-1/1</v>
      </c>
      <c r="C2976" s="31" t="str">
        <f>[1]Source!G3068</f>
        <v>Промывка оград железобетонных от пыли и грязи водой под напором( гранитная облицовка двух амфитеатров)прим.</v>
      </c>
      <c r="D2976" s="32" t="str">
        <f>[1]Source!H3068</f>
        <v>100 м2</v>
      </c>
      <c r="E2976" s="4">
        <f>[1]Source!I3068</f>
        <v>8.3177000000000003</v>
      </c>
      <c r="F2976" s="33"/>
      <c r="G2976" s="34"/>
      <c r="H2976" s="4"/>
      <c r="I2976" s="4"/>
      <c r="J2976" s="33"/>
      <c r="K2976" s="33"/>
      <c r="M2976"/>
      <c r="N2976"/>
      <c r="O2976"/>
      <c r="P2976"/>
      <c r="Q2976"/>
      <c r="AB2976">
        <f>ROUND(([1]Source!BZ3068/100)*ROUND(([1]Source!AF3068*[1]Source!AV3068)*[1]Source!I3068, 2), 2)</f>
        <v>5947.45</v>
      </c>
      <c r="AC2976">
        <f>[1]Source!X3068</f>
        <v>5947.45</v>
      </c>
      <c r="AD2976">
        <f>ROUND(([1]Source!CA3068/100)*ROUND(([1]Source!AF3068*[1]Source!AV3068)*[1]Source!I3068, 2), 2)</f>
        <v>849.64</v>
      </c>
      <c r="AE2976">
        <f>[1]Source!Y3068</f>
        <v>849.64</v>
      </c>
      <c r="AF2976">
        <f>ROUND((175/100)*ROUND(([1]Source!AE3068*[1]Source!AV3068)*[1]Source!I3068, 2), 2)</f>
        <v>35556.75</v>
      </c>
      <c r="AG2976">
        <f>ROUND((108/100)*ROUND([1]Source!CS3068*[1]Source!I3068, 2), 2)</f>
        <v>21943.59</v>
      </c>
    </row>
    <row r="2977" spans="1:33" x14ac:dyDescent="0.2">
      <c r="C2977" s="40" t="str">
        <f>"Объем: "&amp;[1]Source!I3068&amp;"=831,77/"&amp;"100"</f>
        <v>Объем: 8,3177=831,77/100</v>
      </c>
      <c r="M2977"/>
      <c r="N2977"/>
      <c r="O2977"/>
      <c r="P2977"/>
      <c r="Q2977"/>
    </row>
    <row r="2978" spans="1:33" ht="14.25" x14ac:dyDescent="0.2">
      <c r="A2978" s="31"/>
      <c r="B2978" s="31"/>
      <c r="C2978" s="31" t="s">
        <v>34</v>
      </c>
      <c r="D2978" s="32"/>
      <c r="E2978" s="4"/>
      <c r="F2978" s="33">
        <f>[1]Source!AO3068</f>
        <v>255.37</v>
      </c>
      <c r="G2978" s="34" t="str">
        <f>[1]Source!DG3068</f>
        <v>)*1*4</v>
      </c>
      <c r="H2978" s="4">
        <f>[1]Source!AV3068</f>
        <v>1</v>
      </c>
      <c r="I2978" s="4">
        <f>IF([1]Source!BA3068&lt;&gt; 0, [1]Source!BA3068, 1)</f>
        <v>1</v>
      </c>
      <c r="J2978" s="33">
        <f>[1]Source!S3068</f>
        <v>8496.36</v>
      </c>
      <c r="K2978" s="33"/>
      <c r="M2978"/>
      <c r="N2978"/>
      <c r="O2978"/>
      <c r="P2978"/>
      <c r="Q2978"/>
    </row>
    <row r="2979" spans="1:33" ht="14.25" x14ac:dyDescent="0.2">
      <c r="A2979" s="31"/>
      <c r="B2979" s="31"/>
      <c r="C2979" s="31" t="s">
        <v>33</v>
      </c>
      <c r="D2979" s="32"/>
      <c r="E2979" s="4"/>
      <c r="F2979" s="33">
        <f>[1]Source!AM3068</f>
        <v>1655.86</v>
      </c>
      <c r="G2979" s="34" t="str">
        <f>[1]Source!DE3068</f>
        <v>)*1*4</v>
      </c>
      <c r="H2979" s="4">
        <f>[1]Source!AV3068</f>
        <v>1</v>
      </c>
      <c r="I2979" s="4">
        <f>IF([1]Source!BB3068&lt;&gt; 0, [1]Source!BB3068, 1)</f>
        <v>1</v>
      </c>
      <c r="J2979" s="33">
        <f>[1]Source!Q3068</f>
        <v>55091.79</v>
      </c>
      <c r="K2979" s="33"/>
      <c r="M2979"/>
      <c r="N2979"/>
      <c r="O2979"/>
      <c r="P2979"/>
      <c r="Q2979"/>
    </row>
    <row r="2980" spans="1:33" ht="14.25" x14ac:dyDescent="0.2">
      <c r="A2980" s="31"/>
      <c r="B2980" s="31"/>
      <c r="C2980" s="31" t="s">
        <v>37</v>
      </c>
      <c r="D2980" s="32"/>
      <c r="E2980" s="4"/>
      <c r="F2980" s="33">
        <f>[1]Source!AN3068</f>
        <v>610.69000000000005</v>
      </c>
      <c r="G2980" s="34" t="str">
        <f>[1]Source!DF3068</f>
        <v>)*1*4</v>
      </c>
      <c r="H2980" s="4">
        <f>[1]Source!AV3068</f>
        <v>1</v>
      </c>
      <c r="I2980" s="4">
        <f>IF([1]Source!BS3068&lt;&gt; 0, [1]Source!BS3068, 1)</f>
        <v>1</v>
      </c>
      <c r="J2980" s="41">
        <f>[1]Source!R3068</f>
        <v>20318.14</v>
      </c>
      <c r="K2980" s="33"/>
      <c r="M2980"/>
      <c r="N2980"/>
      <c r="O2980"/>
      <c r="P2980"/>
      <c r="Q2980"/>
    </row>
    <row r="2981" spans="1:33" ht="14.25" x14ac:dyDescent="0.2">
      <c r="A2981" s="31"/>
      <c r="B2981" s="31"/>
      <c r="C2981" s="31" t="s">
        <v>47</v>
      </c>
      <c r="D2981" s="32"/>
      <c r="E2981" s="4"/>
      <c r="F2981" s="33">
        <f>[1]Source!AL3068</f>
        <v>25.46</v>
      </c>
      <c r="G2981" s="34" t="str">
        <f>[1]Source!DD3068</f>
        <v>)*1*4</v>
      </c>
      <c r="H2981" s="4">
        <f>[1]Source!AW3068</f>
        <v>1</v>
      </c>
      <c r="I2981" s="4">
        <f>IF([1]Source!BC3068&lt;&gt; 0, [1]Source!BC3068, 1)</f>
        <v>1</v>
      </c>
      <c r="J2981" s="33">
        <f>[1]Source!P3068</f>
        <v>847.07</v>
      </c>
      <c r="K2981" s="33"/>
      <c r="M2981"/>
      <c r="N2981"/>
      <c r="O2981"/>
      <c r="P2981"/>
      <c r="Q2981"/>
    </row>
    <row r="2982" spans="1:33" ht="14.25" x14ac:dyDescent="0.2">
      <c r="A2982" s="31"/>
      <c r="B2982" s="31"/>
      <c r="C2982" s="31" t="s">
        <v>40</v>
      </c>
      <c r="D2982" s="32" t="s">
        <v>39</v>
      </c>
      <c r="E2982" s="4">
        <f>[1]Source!AT3068</f>
        <v>70</v>
      </c>
      <c r="F2982" s="33"/>
      <c r="G2982" s="34"/>
      <c r="H2982" s="4"/>
      <c r="I2982" s="4"/>
      <c r="J2982" s="33">
        <f>SUM(AC2976:AC2981)</f>
        <v>5947.45</v>
      </c>
      <c r="K2982" s="33"/>
      <c r="M2982"/>
      <c r="N2982"/>
      <c r="O2982"/>
      <c r="P2982"/>
      <c r="Q2982"/>
    </row>
    <row r="2983" spans="1:33" ht="14.25" x14ac:dyDescent="0.2">
      <c r="A2983" s="31"/>
      <c r="B2983" s="31"/>
      <c r="C2983" s="31" t="s">
        <v>41</v>
      </c>
      <c r="D2983" s="32" t="s">
        <v>39</v>
      </c>
      <c r="E2983" s="4">
        <f>[1]Source!AU3068</f>
        <v>10</v>
      </c>
      <c r="F2983" s="33"/>
      <c r="G2983" s="34"/>
      <c r="H2983" s="4"/>
      <c r="I2983" s="4"/>
      <c r="J2983" s="33">
        <f>SUM(AE2976:AE2982)</f>
        <v>849.64</v>
      </c>
      <c r="K2983" s="33"/>
      <c r="M2983"/>
      <c r="N2983"/>
      <c r="O2983"/>
      <c r="P2983"/>
      <c r="Q2983"/>
    </row>
    <row r="2984" spans="1:33" ht="14.25" x14ac:dyDescent="0.2">
      <c r="A2984" s="31"/>
      <c r="B2984" s="31"/>
      <c r="C2984" s="31" t="s">
        <v>38</v>
      </c>
      <c r="D2984" s="32" t="s">
        <v>39</v>
      </c>
      <c r="E2984" s="4">
        <f>108</f>
        <v>108</v>
      </c>
      <c r="F2984" s="33"/>
      <c r="G2984" s="34"/>
      <c r="H2984" s="4"/>
      <c r="I2984" s="4"/>
      <c r="J2984" s="33">
        <f>SUM(AG2976:AG2983)</f>
        <v>21943.59</v>
      </c>
      <c r="K2984" s="33"/>
      <c r="M2984"/>
      <c r="N2984"/>
      <c r="O2984"/>
      <c r="P2984"/>
      <c r="Q2984"/>
    </row>
    <row r="2985" spans="1:33" ht="14.25" x14ac:dyDescent="0.2">
      <c r="A2985" s="31"/>
      <c r="B2985" s="31"/>
      <c r="C2985" s="31" t="s">
        <v>42</v>
      </c>
      <c r="D2985" s="32" t="s">
        <v>43</v>
      </c>
      <c r="E2985" s="4">
        <f>[1]Source!AQ3068</f>
        <v>1.03</v>
      </c>
      <c r="F2985" s="33"/>
      <c r="G2985" s="34" t="str">
        <f>[1]Source!DI3068</f>
        <v>)*1*4</v>
      </c>
      <c r="H2985" s="4">
        <f>[1]Source!AV3068</f>
        <v>1</v>
      </c>
      <c r="I2985" s="4"/>
      <c r="J2985" s="33"/>
      <c r="K2985" s="33">
        <f>[1]Source!U3068</f>
        <v>34.268924000000005</v>
      </c>
      <c r="M2985"/>
      <c r="N2985"/>
      <c r="O2985"/>
      <c r="P2985"/>
      <c r="Q2985"/>
    </row>
    <row r="2986" spans="1:33" ht="15" x14ac:dyDescent="0.25">
      <c r="A2986" s="35"/>
      <c r="B2986" s="35"/>
      <c r="C2986" s="35"/>
      <c r="D2986" s="35"/>
      <c r="E2986" s="35"/>
      <c r="F2986" s="35"/>
      <c r="G2986" s="35"/>
      <c r="H2986" s="35"/>
      <c r="I2986" s="36">
        <f>J2978+J2979+J2981+J2982+J2983+J2984</f>
        <v>93175.9</v>
      </c>
      <c r="J2986" s="36"/>
      <c r="K2986" s="37">
        <f>IF([1]Source!I3068&lt;&gt;0, ROUND(I2986/[1]Source!I3068, 2), 0)</f>
        <v>11202.12</v>
      </c>
      <c r="M2986"/>
      <c r="N2986"/>
      <c r="O2986"/>
      <c r="P2986"/>
      <c r="Q2986"/>
      <c r="AA2986" s="38">
        <f>I2986</f>
        <v>93175.9</v>
      </c>
    </row>
    <row r="2987" spans="1:33" ht="42.75" x14ac:dyDescent="0.2">
      <c r="A2987" s="31">
        <v>390</v>
      </c>
      <c r="B2987" s="31" t="str">
        <f>[1]Source!F3069</f>
        <v>5.3-1101-7-1/1</v>
      </c>
      <c r="C2987" s="31" t="str">
        <f>[1]Source!G3069</f>
        <v>Протирка оград железобетонных от пыли и грязи( гранитная облицовка двух амфитеатров)прим.</v>
      </c>
      <c r="D2987" s="32" t="str">
        <f>[1]Source!H3069</f>
        <v>100 м2</v>
      </c>
      <c r="E2987" s="4">
        <f>[1]Source!I3069</f>
        <v>8.3177000000000003</v>
      </c>
      <c r="F2987" s="33"/>
      <c r="G2987" s="34"/>
      <c r="H2987" s="4"/>
      <c r="I2987" s="4"/>
      <c r="J2987" s="33"/>
      <c r="K2987" s="33"/>
      <c r="M2987"/>
      <c r="N2987"/>
      <c r="O2987"/>
      <c r="P2987"/>
      <c r="Q2987"/>
      <c r="AB2987">
        <f>ROUND(([1]Source!BZ3069/100)*ROUND(([1]Source!AF3069*[1]Source!AV3069)*[1]Source!I3069, 2), 2)</f>
        <v>104656.88</v>
      </c>
      <c r="AC2987">
        <f>[1]Source!X3069</f>
        <v>104656.88</v>
      </c>
      <c r="AD2987">
        <f>ROUND(([1]Source!CA3069/100)*ROUND(([1]Source!AF3069*[1]Source!AV3069)*[1]Source!I3069, 2), 2)</f>
        <v>14950.98</v>
      </c>
      <c r="AE2987">
        <f>[1]Source!Y3069</f>
        <v>14950.98</v>
      </c>
      <c r="AF2987">
        <f>ROUND((175/100)*ROUND(([1]Source!AE3069*[1]Source!AV3069)*[1]Source!I3069, 2), 2)</f>
        <v>0</v>
      </c>
      <c r="AG2987">
        <f>ROUND((108/100)*ROUND([1]Source!CS3069*[1]Source!I3069, 2), 2)</f>
        <v>0</v>
      </c>
    </row>
    <row r="2988" spans="1:33" x14ac:dyDescent="0.2">
      <c r="C2988" s="40" t="str">
        <f>"Объем: "&amp;[1]Source!I3069&amp;"=831,77/"&amp;"100"</f>
        <v>Объем: 8,3177=831,77/100</v>
      </c>
      <c r="M2988"/>
      <c r="N2988"/>
      <c r="O2988"/>
      <c r="P2988"/>
      <c r="Q2988"/>
    </row>
    <row r="2989" spans="1:33" ht="14.25" x14ac:dyDescent="0.2">
      <c r="A2989" s="31"/>
      <c r="B2989" s="31"/>
      <c r="C2989" s="31" t="s">
        <v>34</v>
      </c>
      <c r="D2989" s="32"/>
      <c r="E2989" s="4"/>
      <c r="F2989" s="33">
        <f>[1]Source!AO3069</f>
        <v>1797.49</v>
      </c>
      <c r="G2989" s="34" t="str">
        <f>[1]Source!DG3069</f>
        <v>)*1*10</v>
      </c>
      <c r="H2989" s="4">
        <f>[1]Source!AV3069</f>
        <v>1</v>
      </c>
      <c r="I2989" s="4">
        <f>IF([1]Source!BA3069&lt;&gt; 0, [1]Source!BA3069, 1)</f>
        <v>1</v>
      </c>
      <c r="J2989" s="33">
        <f>[1]Source!S3069</f>
        <v>149509.82999999999</v>
      </c>
      <c r="K2989" s="33"/>
      <c r="M2989"/>
      <c r="N2989"/>
      <c r="O2989"/>
      <c r="P2989"/>
      <c r="Q2989"/>
    </row>
    <row r="2990" spans="1:33" ht="14.25" x14ac:dyDescent="0.2">
      <c r="A2990" s="31"/>
      <c r="B2990" s="31"/>
      <c r="C2990" s="31" t="s">
        <v>47</v>
      </c>
      <c r="D2990" s="32"/>
      <c r="E2990" s="4"/>
      <c r="F2990" s="33">
        <f>[1]Source!AL3069</f>
        <v>5.42</v>
      </c>
      <c r="G2990" s="34" t="str">
        <f>[1]Source!DD3069</f>
        <v>)*1*10</v>
      </c>
      <c r="H2990" s="4">
        <f>[1]Source!AW3069</f>
        <v>1</v>
      </c>
      <c r="I2990" s="4">
        <f>IF([1]Source!BC3069&lt;&gt; 0, [1]Source!BC3069, 1)</f>
        <v>1</v>
      </c>
      <c r="J2990" s="33">
        <f>[1]Source!P3069</f>
        <v>450.82</v>
      </c>
      <c r="K2990" s="33"/>
      <c r="M2990"/>
      <c r="N2990"/>
      <c r="O2990"/>
      <c r="P2990"/>
      <c r="Q2990"/>
    </row>
    <row r="2991" spans="1:33" ht="14.25" x14ac:dyDescent="0.2">
      <c r="A2991" s="31"/>
      <c r="B2991" s="31"/>
      <c r="C2991" s="31" t="s">
        <v>40</v>
      </c>
      <c r="D2991" s="32" t="s">
        <v>39</v>
      </c>
      <c r="E2991" s="4">
        <f>[1]Source!AT3069</f>
        <v>70</v>
      </c>
      <c r="F2991" s="33"/>
      <c r="G2991" s="34"/>
      <c r="H2991" s="4"/>
      <c r="I2991" s="4"/>
      <c r="J2991" s="33">
        <f>SUM(AC2987:AC2990)</f>
        <v>104656.88</v>
      </c>
      <c r="K2991" s="33"/>
      <c r="M2991"/>
      <c r="N2991"/>
      <c r="O2991"/>
      <c r="P2991"/>
      <c r="Q2991"/>
    </row>
    <row r="2992" spans="1:33" ht="14.25" x14ac:dyDescent="0.2">
      <c r="A2992" s="31"/>
      <c r="B2992" s="31"/>
      <c r="C2992" s="31" t="s">
        <v>41</v>
      </c>
      <c r="D2992" s="32" t="s">
        <v>39</v>
      </c>
      <c r="E2992" s="4">
        <f>[1]Source!AU3069</f>
        <v>10</v>
      </c>
      <c r="F2992" s="33"/>
      <c r="G2992" s="34"/>
      <c r="H2992" s="4"/>
      <c r="I2992" s="4"/>
      <c r="J2992" s="33">
        <f>SUM(AE2987:AE2991)</f>
        <v>14950.98</v>
      </c>
      <c r="K2992" s="33"/>
      <c r="M2992"/>
      <c r="N2992"/>
      <c r="O2992"/>
      <c r="P2992"/>
      <c r="Q2992"/>
    </row>
    <row r="2993" spans="1:43" ht="14.25" x14ac:dyDescent="0.2">
      <c r="A2993" s="31"/>
      <c r="B2993" s="31"/>
      <c r="C2993" s="31" t="s">
        <v>42</v>
      </c>
      <c r="D2993" s="32" t="s">
        <v>43</v>
      </c>
      <c r="E2993" s="4">
        <f>[1]Source!AQ3069</f>
        <v>7.25</v>
      </c>
      <c r="F2993" s="33"/>
      <c r="G2993" s="34" t="str">
        <f>[1]Source!DI3069</f>
        <v>)*1*10</v>
      </c>
      <c r="H2993" s="4">
        <f>[1]Source!AV3069</f>
        <v>1</v>
      </c>
      <c r="I2993" s="4"/>
      <c r="J2993" s="33"/>
      <c r="K2993" s="33">
        <f>[1]Source!U3069</f>
        <v>603.03325000000007</v>
      </c>
      <c r="M2993"/>
      <c r="N2993"/>
      <c r="O2993"/>
      <c r="P2993"/>
      <c r="Q2993"/>
    </row>
    <row r="2994" spans="1:43" ht="15" x14ac:dyDescent="0.25">
      <c r="A2994" s="35"/>
      <c r="B2994" s="35"/>
      <c r="C2994" s="35"/>
      <c r="D2994" s="35"/>
      <c r="E2994" s="35"/>
      <c r="F2994" s="35"/>
      <c r="G2994" s="35"/>
      <c r="H2994" s="35"/>
      <c r="I2994" s="36">
        <f>J2989+J2990+J2991+J2992</f>
        <v>269568.51</v>
      </c>
      <c r="J2994" s="36"/>
      <c r="K2994" s="37">
        <f>IF([1]Source!I3069&lt;&gt;0, ROUND(I2994/[1]Source!I3069, 2), 0)</f>
        <v>32409.02</v>
      </c>
      <c r="M2994"/>
      <c r="N2994"/>
      <c r="O2994"/>
      <c r="P2994"/>
      <c r="Q2994"/>
      <c r="AA2994" s="38">
        <f>I2994</f>
        <v>269568.51</v>
      </c>
    </row>
    <row r="2995" spans="1:43" x14ac:dyDescent="0.2">
      <c r="M2995"/>
      <c r="N2995"/>
      <c r="O2995"/>
      <c r="P2995"/>
      <c r="Q2995"/>
    </row>
    <row r="2996" spans="1:43" ht="45" x14ac:dyDescent="0.25">
      <c r="A2996" s="42" t="str">
        <f>CONCATENATE("Итого по разделу: ",IF([1]Source!G3071&lt;&gt;"Новый раздел", [1]Source!G3071, ""))</f>
        <v>Итого по разделу: Содержание  лавочек  " Большого амфитеатра " и " Малого амфитеатра" из бруса ( Sобщая = 613,69 м2, ;в т.ч. S=367,35 м2-лавочки " Большого амфитеатра", S= 246,34 м2- лавочки "Малого амфитеатра", S= 831,77 м2-гранитная облицовка двух амфитеатров ).</v>
      </c>
      <c r="B2996" s="42"/>
      <c r="C2996" s="42"/>
      <c r="D2996" s="42"/>
      <c r="E2996" s="42"/>
      <c r="F2996" s="42"/>
      <c r="G2996" s="42"/>
      <c r="H2996" s="42"/>
      <c r="I2996" s="43">
        <f>SUM(AA2957:AA2995)</f>
        <v>2452177.0300000003</v>
      </c>
      <c r="J2996" s="44"/>
      <c r="K2996" s="47"/>
      <c r="L2996" s="38">
        <f>I2996</f>
        <v>2452177.0300000003</v>
      </c>
      <c r="M2996" s="2">
        <f>ROUND(I2996*$I$4874,2)</f>
        <v>1770979.04</v>
      </c>
      <c r="N2996" s="2">
        <f>ROUND(M2996*1.2/105*100,2)</f>
        <v>2023976.05</v>
      </c>
      <c r="O2996" s="2">
        <f>ROUND(N2996*0.05,2)</f>
        <v>101198.8</v>
      </c>
      <c r="P2996" s="2">
        <f>N2996+O2996</f>
        <v>2125174.85</v>
      </c>
      <c r="Q2996" s="3">
        <v>85</v>
      </c>
      <c r="R2996">
        <v>2</v>
      </c>
      <c r="S2996" s="2">
        <v>0</v>
      </c>
      <c r="AQ2996" s="46" t="str">
        <f>CONCATENATE("Итого по разделу: ",IF([1]Source!G3071&lt;&gt;"Новый раздел", [1]Source!G3071, ""))</f>
        <v>Итого по разделу: Содержание  лавочек  " Большого амфитеатра " и " Малого амфитеатра" из бруса ( Sобщая = 613,69 м2, ;в т.ч. S=367,35 м2-лавочки " Большого амфитеатра", S= 246,34 м2- лавочки "Малого амфитеатра", S= 831,77 м2-гранитная облицовка двух амфитеатров ).</v>
      </c>
    </row>
    <row r="2997" spans="1:43" x14ac:dyDescent="0.2">
      <c r="M2997"/>
      <c r="N2997"/>
      <c r="O2997"/>
      <c r="P2997"/>
      <c r="Q2997"/>
    </row>
    <row r="2998" spans="1:43" x14ac:dyDescent="0.2">
      <c r="M2998"/>
      <c r="N2998"/>
      <c r="O2998"/>
      <c r="P2998"/>
      <c r="Q2998"/>
    </row>
    <row r="2999" spans="1:43" ht="16.5" x14ac:dyDescent="0.25">
      <c r="A2999" s="29" t="str">
        <f>CONCATENATE("Раздел: ",IF([1]Source!G3101&lt;&gt;"Новый раздел", [1]Source!G3101, ""))</f>
        <v>Раздел: Содержание сценической площадки с покрытием террасной доской( S=545 м2 ).</v>
      </c>
      <c r="B2999" s="29"/>
      <c r="C2999" s="29"/>
      <c r="D2999" s="29"/>
      <c r="E2999" s="29"/>
      <c r="F2999" s="29"/>
      <c r="G2999" s="29"/>
      <c r="H2999" s="29"/>
      <c r="I2999" s="29"/>
      <c r="J2999" s="29"/>
      <c r="K2999" s="29"/>
      <c r="M2999"/>
      <c r="N2999"/>
      <c r="O2999"/>
      <c r="P2999"/>
      <c r="Q2999"/>
    </row>
    <row r="3000" spans="1:43" ht="28.5" x14ac:dyDescent="0.2">
      <c r="A3000" s="31">
        <v>391</v>
      </c>
      <c r="B3000" s="31" t="str">
        <f>[1]Source!F3105</f>
        <v>5.3-1101-13-1/1</v>
      </c>
      <c r="C3000" s="31" t="str">
        <f>[1]Source!G3105</f>
        <v>Подметание вручную дорожек и площадок с твердым покрытием</v>
      </c>
      <c r="D3000" s="32" t="str">
        <f>[1]Source!H3105</f>
        <v>100 м2</v>
      </c>
      <c r="E3000" s="4">
        <f>[1]Source!I3105</f>
        <v>5.45</v>
      </c>
      <c r="F3000" s="33"/>
      <c r="G3000" s="34"/>
      <c r="H3000" s="4"/>
      <c r="I3000" s="4"/>
      <c r="J3000" s="33"/>
      <c r="K3000" s="33"/>
      <c r="M3000"/>
      <c r="N3000"/>
      <c r="O3000"/>
      <c r="P3000"/>
      <c r="Q3000"/>
      <c r="AB3000">
        <f>ROUND(([1]Source!BZ3105/100)*ROUND(([1]Source!AF3105*[1]Source!AV3105)*[1]Source!I3105, 2), 2)</f>
        <v>105405.24</v>
      </c>
      <c r="AC3000">
        <f>[1]Source!X3105</f>
        <v>105405.24</v>
      </c>
      <c r="AD3000">
        <f>ROUND(([1]Source!CA3105/100)*ROUND(([1]Source!AF3105*[1]Source!AV3105)*[1]Source!I3105, 2), 2)</f>
        <v>15057.89</v>
      </c>
      <c r="AE3000">
        <f>[1]Source!Y3105</f>
        <v>15057.89</v>
      </c>
      <c r="AF3000">
        <f>ROUND((175/100)*ROUND(([1]Source!AE3105*[1]Source!AV3105)*[1]Source!I3105, 2), 2)</f>
        <v>0</v>
      </c>
      <c r="AG3000">
        <f>ROUND((108/100)*ROUND([1]Source!CS3105*[1]Source!I3105, 2), 2)</f>
        <v>0</v>
      </c>
    </row>
    <row r="3001" spans="1:43" x14ac:dyDescent="0.2">
      <c r="C3001" s="40" t="str">
        <f>"Объем: "&amp;[1]Source!I3105&amp;"=545/"&amp;"100"</f>
        <v>Объем: 5,45=545/100</v>
      </c>
      <c r="M3001"/>
      <c r="N3001"/>
      <c r="O3001"/>
      <c r="P3001"/>
      <c r="Q3001"/>
    </row>
    <row r="3002" spans="1:43" ht="14.25" x14ac:dyDescent="0.2">
      <c r="A3002" s="31"/>
      <c r="B3002" s="31"/>
      <c r="C3002" s="31" t="s">
        <v>34</v>
      </c>
      <c r="D3002" s="32"/>
      <c r="E3002" s="4"/>
      <c r="F3002" s="33">
        <f>[1]Source!AO3105</f>
        <v>34.71</v>
      </c>
      <c r="G3002" s="34" t="str">
        <f>[1]Source!DG3105</f>
        <v>)*2*398</v>
      </c>
      <c r="H3002" s="4">
        <f>[1]Source!AV3105</f>
        <v>1</v>
      </c>
      <c r="I3002" s="4">
        <f>IF([1]Source!BA3105&lt;&gt; 0, [1]Source!BA3105, 1)</f>
        <v>1</v>
      </c>
      <c r="J3002" s="33">
        <f>[1]Source!S3105</f>
        <v>150578.92000000001</v>
      </c>
      <c r="K3002" s="33"/>
      <c r="M3002"/>
      <c r="N3002"/>
      <c r="O3002"/>
      <c r="P3002"/>
      <c r="Q3002"/>
    </row>
    <row r="3003" spans="1:43" ht="14.25" x14ac:dyDescent="0.2">
      <c r="A3003" s="31"/>
      <c r="B3003" s="31"/>
      <c r="C3003" s="31" t="s">
        <v>40</v>
      </c>
      <c r="D3003" s="32" t="s">
        <v>39</v>
      </c>
      <c r="E3003" s="4">
        <f>[1]Source!AT3105</f>
        <v>70</v>
      </c>
      <c r="F3003" s="33"/>
      <c r="G3003" s="34"/>
      <c r="H3003" s="4"/>
      <c r="I3003" s="4"/>
      <c r="J3003" s="33">
        <f>SUM(AC3000:AC3002)</f>
        <v>105405.24</v>
      </c>
      <c r="K3003" s="33"/>
      <c r="M3003"/>
      <c r="N3003"/>
      <c r="O3003"/>
      <c r="P3003"/>
      <c r="Q3003"/>
    </row>
    <row r="3004" spans="1:43" ht="14.25" x14ac:dyDescent="0.2">
      <c r="A3004" s="31"/>
      <c r="B3004" s="31"/>
      <c r="C3004" s="31" t="s">
        <v>41</v>
      </c>
      <c r="D3004" s="32" t="s">
        <v>39</v>
      </c>
      <c r="E3004" s="4">
        <f>[1]Source!AU3105</f>
        <v>10</v>
      </c>
      <c r="F3004" s="33"/>
      <c r="G3004" s="34"/>
      <c r="H3004" s="4"/>
      <c r="I3004" s="4"/>
      <c r="J3004" s="33">
        <f>SUM(AE3000:AE3003)</f>
        <v>15057.89</v>
      </c>
      <c r="K3004" s="33"/>
      <c r="M3004"/>
      <c r="N3004"/>
      <c r="O3004"/>
      <c r="P3004"/>
      <c r="Q3004"/>
    </row>
    <row r="3005" spans="1:43" ht="14.25" x14ac:dyDescent="0.2">
      <c r="A3005" s="31"/>
      <c r="B3005" s="31"/>
      <c r="C3005" s="31" t="s">
        <v>42</v>
      </c>
      <c r="D3005" s="32" t="s">
        <v>43</v>
      </c>
      <c r="E3005" s="4">
        <f>[1]Source!AQ3105</f>
        <v>0.14000000000000001</v>
      </c>
      <c r="F3005" s="33"/>
      <c r="G3005" s="34" t="str">
        <f>[1]Source!DI3105</f>
        <v>)*2*398</v>
      </c>
      <c r="H3005" s="4">
        <f>[1]Source!AV3105</f>
        <v>1</v>
      </c>
      <c r="I3005" s="4"/>
      <c r="J3005" s="33"/>
      <c r="K3005" s="33">
        <f>[1]Source!U3105</f>
        <v>607.34800000000007</v>
      </c>
      <c r="M3005"/>
      <c r="N3005"/>
      <c r="O3005"/>
      <c r="P3005"/>
      <c r="Q3005"/>
    </row>
    <row r="3006" spans="1:43" ht="15" x14ac:dyDescent="0.25">
      <c r="A3006" s="35"/>
      <c r="B3006" s="35"/>
      <c r="C3006" s="35"/>
      <c r="D3006" s="35"/>
      <c r="E3006" s="35"/>
      <c r="F3006" s="35"/>
      <c r="G3006" s="35"/>
      <c r="H3006" s="35"/>
      <c r="I3006" s="36">
        <f>J3002+J3003+J3004</f>
        <v>271042.05000000005</v>
      </c>
      <c r="J3006" s="36"/>
      <c r="K3006" s="37">
        <f>IF([1]Source!I3105&lt;&gt;0, ROUND(I3006/[1]Source!I3105, 2), 0)</f>
        <v>49732.49</v>
      </c>
      <c r="M3006"/>
      <c r="N3006"/>
      <c r="O3006"/>
      <c r="P3006"/>
      <c r="Q3006"/>
      <c r="AA3006" s="38">
        <f>I3006</f>
        <v>271042.05000000005</v>
      </c>
    </row>
    <row r="3007" spans="1:43" ht="28.5" x14ac:dyDescent="0.2">
      <c r="A3007" s="31">
        <v>392</v>
      </c>
      <c r="B3007" s="31" t="str">
        <f>[1]Source!F3106</f>
        <v>5.3-1101-14-1/1</v>
      </c>
      <c r="C3007" s="31" t="str">
        <f>[1]Source!G3106</f>
        <v>Полив дорожек из шланга вручную( мытье поверхности)</v>
      </c>
      <c r="D3007" s="32" t="str">
        <f>[1]Source!H3106</f>
        <v>100 м2</v>
      </c>
      <c r="E3007" s="4">
        <f>[1]Source!I3106</f>
        <v>5.45</v>
      </c>
      <c r="F3007" s="33"/>
      <c r="G3007" s="34"/>
      <c r="H3007" s="4"/>
      <c r="I3007" s="4"/>
      <c r="J3007" s="33"/>
      <c r="K3007" s="33"/>
      <c r="M3007"/>
      <c r="N3007"/>
      <c r="O3007"/>
      <c r="P3007"/>
      <c r="Q3007"/>
      <c r="AB3007">
        <f>ROUND(([1]Source!BZ3106/100)*ROUND(([1]Source!AF3106*[1]Source!AV3106)*[1]Source!I3106, 2), 2)</f>
        <v>7131.53</v>
      </c>
      <c r="AC3007">
        <f>[1]Source!X3106</f>
        <v>7131.53</v>
      </c>
      <c r="AD3007">
        <f>ROUND(([1]Source!CA3106/100)*ROUND(([1]Source!AF3106*[1]Source!AV3106)*[1]Source!I3106, 2), 2)</f>
        <v>1018.79</v>
      </c>
      <c r="AE3007">
        <f>[1]Source!Y3106</f>
        <v>1018.79</v>
      </c>
      <c r="AF3007">
        <f>ROUND((175/100)*ROUND(([1]Source!AE3106*[1]Source!AV3106)*[1]Source!I3106, 2), 2)</f>
        <v>0</v>
      </c>
      <c r="AG3007">
        <f>ROUND((108/100)*ROUND([1]Source!CS3106*[1]Source!I3106, 2), 2)</f>
        <v>0</v>
      </c>
    </row>
    <row r="3008" spans="1:43" x14ac:dyDescent="0.2">
      <c r="C3008" s="40" t="str">
        <f>"Объем: "&amp;[1]Source!I3106&amp;"=545/"&amp;"100"</f>
        <v>Объем: 5,45=545/100</v>
      </c>
      <c r="M3008"/>
      <c r="N3008"/>
      <c r="O3008"/>
      <c r="P3008"/>
      <c r="Q3008"/>
    </row>
    <row r="3009" spans="1:43" ht="14.25" x14ac:dyDescent="0.2">
      <c r="A3009" s="31"/>
      <c r="B3009" s="31"/>
      <c r="C3009" s="31" t="s">
        <v>34</v>
      </c>
      <c r="D3009" s="32"/>
      <c r="E3009" s="4"/>
      <c r="F3009" s="33">
        <f>[1]Source!AO3106</f>
        <v>32.229999999999997</v>
      </c>
      <c r="G3009" s="34" t="str">
        <f>[1]Source!DG3106</f>
        <v>)*1*58</v>
      </c>
      <c r="H3009" s="4">
        <f>[1]Source!AV3106</f>
        <v>1</v>
      </c>
      <c r="I3009" s="4">
        <f>IF([1]Source!BA3106&lt;&gt; 0, [1]Source!BA3106, 1)</f>
        <v>1</v>
      </c>
      <c r="J3009" s="33">
        <f>[1]Source!S3106</f>
        <v>10187.9</v>
      </c>
      <c r="K3009" s="33"/>
      <c r="M3009"/>
      <c r="N3009"/>
      <c r="O3009"/>
      <c r="P3009"/>
      <c r="Q3009"/>
    </row>
    <row r="3010" spans="1:43" ht="14.25" x14ac:dyDescent="0.2">
      <c r="A3010" s="31"/>
      <c r="B3010" s="31"/>
      <c r="C3010" s="31" t="s">
        <v>47</v>
      </c>
      <c r="D3010" s="32"/>
      <c r="E3010" s="4"/>
      <c r="F3010" s="33">
        <f>[1]Source!AL3106</f>
        <v>4.24</v>
      </c>
      <c r="G3010" s="34" t="str">
        <f>[1]Source!DD3106</f>
        <v>)*1*58</v>
      </c>
      <c r="H3010" s="4">
        <f>[1]Source!AW3106</f>
        <v>1</v>
      </c>
      <c r="I3010" s="4">
        <f>IF([1]Source!BC3106&lt;&gt; 0, [1]Source!BC3106, 1)</f>
        <v>1</v>
      </c>
      <c r="J3010" s="33">
        <f>[1]Source!P3106</f>
        <v>1340.26</v>
      </c>
      <c r="K3010" s="33"/>
      <c r="M3010"/>
      <c r="N3010"/>
      <c r="O3010"/>
      <c r="P3010"/>
      <c r="Q3010"/>
    </row>
    <row r="3011" spans="1:43" ht="14.25" x14ac:dyDescent="0.2">
      <c r="A3011" s="31" t="s">
        <v>135</v>
      </c>
      <c r="B3011" s="31" t="str">
        <f>[1]Source!F3107</f>
        <v>21.1-25-13</v>
      </c>
      <c r="C3011" s="31" t="str">
        <f>[1]Source!G3107</f>
        <v>Вода</v>
      </c>
      <c r="D3011" s="32" t="str">
        <f>[1]Source!H3107</f>
        <v>м3</v>
      </c>
      <c r="E3011" s="4">
        <f>[1]Source!I3107</f>
        <v>-31.61</v>
      </c>
      <c r="F3011" s="33">
        <f>[1]Source!AK3107</f>
        <v>42.44</v>
      </c>
      <c r="G3011" s="39" t="s">
        <v>121</v>
      </c>
      <c r="H3011" s="4">
        <f>[1]Source!AW3107</f>
        <v>1</v>
      </c>
      <c r="I3011" s="4">
        <f>IF([1]Source!BC3107&lt;&gt; 0, [1]Source!BC3107, 1)</f>
        <v>1</v>
      </c>
      <c r="J3011" s="33">
        <f>[1]Source!O3107</f>
        <v>-1341.53</v>
      </c>
      <c r="K3011" s="33"/>
      <c r="M3011"/>
      <c r="N3011"/>
      <c r="O3011"/>
      <c r="P3011"/>
      <c r="Q3011"/>
      <c r="AB3011">
        <f>ROUND(([1]Source!BZ3107/100)*ROUND(([1]Source!AF3107*[1]Source!AV3107)*[1]Source!I3107, 2), 2)</f>
        <v>0</v>
      </c>
      <c r="AC3011">
        <f>[1]Source!X3107</f>
        <v>0</v>
      </c>
      <c r="AD3011">
        <f>ROUND(([1]Source!CA3107/100)*ROUND(([1]Source!AF3107*[1]Source!AV3107)*[1]Source!I3107, 2), 2)</f>
        <v>0</v>
      </c>
      <c r="AE3011">
        <f>[1]Source!Y3107</f>
        <v>0</v>
      </c>
      <c r="AF3011">
        <f>ROUND((175/100)*ROUND(([1]Source!AE3107*[1]Source!AV3107)*[1]Source!I3107, 2), 2)</f>
        <v>0</v>
      </c>
      <c r="AG3011">
        <f>ROUND((108/100)*ROUND([1]Source!CS3107*[1]Source!I3107, 2), 2)</f>
        <v>0</v>
      </c>
    </row>
    <row r="3012" spans="1:43" ht="14.25" x14ac:dyDescent="0.2">
      <c r="A3012" s="31"/>
      <c r="B3012" s="31"/>
      <c r="C3012" s="31" t="s">
        <v>40</v>
      </c>
      <c r="D3012" s="32" t="s">
        <v>39</v>
      </c>
      <c r="E3012" s="4">
        <f>[1]Source!AT3106</f>
        <v>70</v>
      </c>
      <c r="F3012" s="33"/>
      <c r="G3012" s="34"/>
      <c r="H3012" s="4"/>
      <c r="I3012" s="4"/>
      <c r="J3012" s="33">
        <f>SUM(AC3007:AC3011)</f>
        <v>7131.53</v>
      </c>
      <c r="K3012" s="33"/>
      <c r="M3012"/>
      <c r="N3012"/>
      <c r="O3012"/>
      <c r="P3012"/>
      <c r="Q3012"/>
    </row>
    <row r="3013" spans="1:43" ht="14.25" x14ac:dyDescent="0.2">
      <c r="A3013" s="31"/>
      <c r="B3013" s="31"/>
      <c r="C3013" s="31" t="s">
        <v>41</v>
      </c>
      <c r="D3013" s="32" t="s">
        <v>39</v>
      </c>
      <c r="E3013" s="4">
        <f>[1]Source!AU3106</f>
        <v>10</v>
      </c>
      <c r="F3013" s="33"/>
      <c r="G3013" s="34"/>
      <c r="H3013" s="4"/>
      <c r="I3013" s="4"/>
      <c r="J3013" s="33">
        <f>SUM(AE3007:AE3012)</f>
        <v>1018.79</v>
      </c>
      <c r="K3013" s="33"/>
      <c r="M3013"/>
      <c r="N3013"/>
      <c r="O3013"/>
      <c r="P3013"/>
      <c r="Q3013"/>
    </row>
    <row r="3014" spans="1:43" ht="14.25" x14ac:dyDescent="0.2">
      <c r="A3014" s="31"/>
      <c r="B3014" s="31"/>
      <c r="C3014" s="31" t="s">
        <v>42</v>
      </c>
      <c r="D3014" s="32" t="s">
        <v>43</v>
      </c>
      <c r="E3014" s="4">
        <f>[1]Source!AQ3106</f>
        <v>0.13</v>
      </c>
      <c r="F3014" s="33"/>
      <c r="G3014" s="34" t="str">
        <f>[1]Source!DI3106</f>
        <v>)*1*58</v>
      </c>
      <c r="H3014" s="4">
        <f>[1]Source!AV3106</f>
        <v>1</v>
      </c>
      <c r="I3014" s="4"/>
      <c r="J3014" s="33"/>
      <c r="K3014" s="33">
        <f>[1]Source!U3106</f>
        <v>41.093000000000004</v>
      </c>
      <c r="M3014"/>
      <c r="N3014"/>
      <c r="O3014"/>
      <c r="P3014"/>
      <c r="Q3014"/>
    </row>
    <row r="3015" spans="1:43" ht="15" x14ac:dyDescent="0.25">
      <c r="A3015" s="35"/>
      <c r="B3015" s="35"/>
      <c r="C3015" s="35"/>
      <c r="D3015" s="35"/>
      <c r="E3015" s="35"/>
      <c r="F3015" s="35"/>
      <c r="G3015" s="35"/>
      <c r="H3015" s="35"/>
      <c r="I3015" s="36">
        <f>J3009+J3010+J3012+J3013+SUM(J3011:J3011)</f>
        <v>18336.95</v>
      </c>
      <c r="J3015" s="36"/>
      <c r="K3015" s="37">
        <f>IF([1]Source!I3106&lt;&gt;0, ROUND(I3015/[1]Source!I3106, 2), 0)</f>
        <v>3364.58</v>
      </c>
      <c r="M3015"/>
      <c r="N3015"/>
      <c r="O3015"/>
      <c r="P3015"/>
      <c r="Q3015"/>
      <c r="AA3015" s="38">
        <f>I3015</f>
        <v>18336.95</v>
      </c>
    </row>
    <row r="3016" spans="1:43" x14ac:dyDescent="0.2">
      <c r="M3016"/>
      <c r="N3016"/>
      <c r="O3016"/>
      <c r="P3016"/>
      <c r="Q3016"/>
    </row>
    <row r="3017" spans="1:43" ht="15" x14ac:dyDescent="0.25">
      <c r="A3017" s="42" t="str">
        <f>CONCATENATE("Итого по разделу: ",IF([1]Source!G3109&lt;&gt;"Новый раздел", [1]Source!G3109, ""))</f>
        <v>Итого по разделу: Содержание сценической площадки с покрытием террасной доской( S=545 м2 ).</v>
      </c>
      <c r="B3017" s="42"/>
      <c r="C3017" s="42"/>
      <c r="D3017" s="42"/>
      <c r="E3017" s="42"/>
      <c r="F3017" s="42"/>
      <c r="G3017" s="42"/>
      <c r="H3017" s="42"/>
      <c r="I3017" s="43">
        <f>SUM(AA2999:AA3016)</f>
        <v>289379.00000000006</v>
      </c>
      <c r="J3017" s="44"/>
      <c r="K3017" s="47"/>
      <c r="L3017" s="38">
        <f>I3017</f>
        <v>289379.00000000006</v>
      </c>
      <c r="M3017" s="2">
        <f>ROUND(I3017*$I$4874,2)</f>
        <v>208991.5</v>
      </c>
      <c r="N3017" s="2">
        <f>ROUND(M3017*1.2/105*100,2)</f>
        <v>238847.43</v>
      </c>
      <c r="O3017" s="2">
        <f>ROUND(N3017*0.05,2)</f>
        <v>11942.37</v>
      </c>
      <c r="P3017" s="2">
        <f>N3017+O3017</f>
        <v>250789.8</v>
      </c>
      <c r="Q3017" s="3">
        <v>86</v>
      </c>
      <c r="R3017">
        <v>2</v>
      </c>
      <c r="S3017" s="2">
        <v>0</v>
      </c>
      <c r="AQ3017" s="46" t="str">
        <f>CONCATENATE("Итого по разделу: ",IF([1]Source!G3109&lt;&gt;"Новый раздел", [1]Source!G3109, ""))</f>
        <v>Итого по разделу: Содержание сценической площадки с покрытием террасной доской( S=545 м2 ).</v>
      </c>
    </row>
    <row r="3018" spans="1:43" x14ac:dyDescent="0.2">
      <c r="M3018"/>
      <c r="N3018"/>
      <c r="O3018"/>
      <c r="P3018"/>
      <c r="Q3018"/>
    </row>
    <row r="3019" spans="1:43" x14ac:dyDescent="0.2">
      <c r="M3019"/>
      <c r="N3019"/>
      <c r="O3019"/>
      <c r="P3019"/>
      <c r="Q3019"/>
    </row>
    <row r="3020" spans="1:43" ht="33" x14ac:dyDescent="0.25">
      <c r="A3020" s="29" t="str">
        <f>CONCATENATE("Раздел: ",IF([1]Source!G3139&lt;&gt;"Новый раздел", [1]Source!G3139, ""))</f>
        <v>Раздел: Содержание покрытий террасной доской ( S= 313 м2; 195 м2-террасная доска Восход верх, 118 м2-гастроцентр верх)</v>
      </c>
      <c r="B3020" s="29"/>
      <c r="C3020" s="29"/>
      <c r="D3020" s="29"/>
      <c r="E3020" s="29"/>
      <c r="F3020" s="29"/>
      <c r="G3020" s="29"/>
      <c r="H3020" s="29"/>
      <c r="I3020" s="29"/>
      <c r="J3020" s="29"/>
      <c r="K3020" s="29"/>
      <c r="M3020"/>
      <c r="N3020"/>
      <c r="O3020"/>
      <c r="P3020"/>
      <c r="Q3020"/>
      <c r="AP3020" s="30" t="str">
        <f>CONCATENATE("Раздел: ",IF([1]Source!G3139&lt;&gt;"Новый раздел", [1]Source!G3139, ""))</f>
        <v>Раздел: Содержание покрытий террасной доской ( S= 313 м2; 195 м2-террасная доска Восход верх, 118 м2-гастроцентр верх)</v>
      </c>
    </row>
    <row r="3021" spans="1:43" ht="28.5" x14ac:dyDescent="0.2">
      <c r="A3021" s="31">
        <v>393</v>
      </c>
      <c r="B3021" s="31" t="str">
        <f>[1]Source!F3143</f>
        <v>5.3-1101-13-1/1</v>
      </c>
      <c r="C3021" s="31" t="str">
        <f>[1]Source!G3143</f>
        <v>Подметание вручную дорожек и площадок с твердым покрытием</v>
      </c>
      <c r="D3021" s="32" t="str">
        <f>[1]Source!H3143</f>
        <v>100 м2</v>
      </c>
      <c r="E3021" s="4">
        <f>[1]Source!I3143</f>
        <v>3.13</v>
      </c>
      <c r="F3021" s="33"/>
      <c r="G3021" s="34"/>
      <c r="H3021" s="4"/>
      <c r="I3021" s="4"/>
      <c r="J3021" s="33"/>
      <c r="K3021" s="33"/>
      <c r="M3021"/>
      <c r="N3021"/>
      <c r="O3021"/>
      <c r="P3021"/>
      <c r="Q3021"/>
      <c r="AB3021">
        <f>ROUND(([1]Source!BZ3143/100)*ROUND(([1]Source!AF3143*[1]Source!AV3143)*[1]Source!I3143, 2), 2)</f>
        <v>60535.49</v>
      </c>
      <c r="AC3021">
        <f>[1]Source!X3143</f>
        <v>60535.49</v>
      </c>
      <c r="AD3021">
        <f>ROUND(([1]Source!CA3143/100)*ROUND(([1]Source!AF3143*[1]Source!AV3143)*[1]Source!I3143, 2), 2)</f>
        <v>8647.93</v>
      </c>
      <c r="AE3021">
        <f>[1]Source!Y3143</f>
        <v>8647.93</v>
      </c>
      <c r="AF3021">
        <f>ROUND((175/100)*ROUND(([1]Source!AE3143*[1]Source!AV3143)*[1]Source!I3143, 2), 2)</f>
        <v>0</v>
      </c>
      <c r="AG3021">
        <f>ROUND((108/100)*ROUND([1]Source!CS3143*[1]Source!I3143, 2), 2)</f>
        <v>0</v>
      </c>
    </row>
    <row r="3022" spans="1:43" x14ac:dyDescent="0.2">
      <c r="C3022" s="40" t="str">
        <f>"Объем: "&amp;[1]Source!I3143&amp;"=313/"&amp;"100"</f>
        <v>Объем: 3,13=313/100</v>
      </c>
      <c r="M3022"/>
      <c r="N3022"/>
      <c r="O3022"/>
      <c r="P3022"/>
      <c r="Q3022"/>
    </row>
    <row r="3023" spans="1:43" ht="14.25" x14ac:dyDescent="0.2">
      <c r="A3023" s="31"/>
      <c r="B3023" s="31"/>
      <c r="C3023" s="31" t="s">
        <v>34</v>
      </c>
      <c r="D3023" s="32"/>
      <c r="E3023" s="4"/>
      <c r="F3023" s="33">
        <f>[1]Source!AO3143</f>
        <v>34.71</v>
      </c>
      <c r="G3023" s="34" t="str">
        <f>[1]Source!DG3143</f>
        <v>)*2*398</v>
      </c>
      <c r="H3023" s="4">
        <f>[1]Source!AV3143</f>
        <v>1</v>
      </c>
      <c r="I3023" s="4">
        <f>IF([1]Source!BA3143&lt;&gt; 0, [1]Source!BA3143, 1)</f>
        <v>1</v>
      </c>
      <c r="J3023" s="33">
        <f>[1]Source!S3143</f>
        <v>86479.27</v>
      </c>
      <c r="K3023" s="33"/>
      <c r="M3023"/>
      <c r="N3023"/>
      <c r="O3023"/>
      <c r="P3023"/>
      <c r="Q3023"/>
    </row>
    <row r="3024" spans="1:43" ht="14.25" x14ac:dyDescent="0.2">
      <c r="A3024" s="31"/>
      <c r="B3024" s="31"/>
      <c r="C3024" s="31" t="s">
        <v>40</v>
      </c>
      <c r="D3024" s="32" t="s">
        <v>39</v>
      </c>
      <c r="E3024" s="4">
        <f>[1]Source!AT3143</f>
        <v>70</v>
      </c>
      <c r="F3024" s="33"/>
      <c r="G3024" s="34"/>
      <c r="H3024" s="4"/>
      <c r="I3024" s="4"/>
      <c r="J3024" s="33">
        <f>SUM(AC3021:AC3023)</f>
        <v>60535.49</v>
      </c>
      <c r="K3024" s="33"/>
      <c r="M3024"/>
      <c r="N3024"/>
      <c r="O3024"/>
      <c r="P3024"/>
      <c r="Q3024"/>
    </row>
    <row r="3025" spans="1:43" ht="14.25" x14ac:dyDescent="0.2">
      <c r="A3025" s="31"/>
      <c r="B3025" s="31"/>
      <c r="C3025" s="31" t="s">
        <v>41</v>
      </c>
      <c r="D3025" s="32" t="s">
        <v>39</v>
      </c>
      <c r="E3025" s="4">
        <f>[1]Source!AU3143</f>
        <v>10</v>
      </c>
      <c r="F3025" s="33"/>
      <c r="G3025" s="34"/>
      <c r="H3025" s="4"/>
      <c r="I3025" s="4"/>
      <c r="J3025" s="33">
        <f>SUM(AE3021:AE3024)</f>
        <v>8647.93</v>
      </c>
      <c r="K3025" s="33"/>
      <c r="M3025"/>
      <c r="N3025"/>
      <c r="O3025"/>
      <c r="P3025"/>
      <c r="Q3025"/>
    </row>
    <row r="3026" spans="1:43" ht="14.25" x14ac:dyDescent="0.2">
      <c r="A3026" s="31"/>
      <c r="B3026" s="31"/>
      <c r="C3026" s="31" t="s">
        <v>42</v>
      </c>
      <c r="D3026" s="32" t="s">
        <v>43</v>
      </c>
      <c r="E3026" s="4">
        <f>[1]Source!AQ3143</f>
        <v>0.14000000000000001</v>
      </c>
      <c r="F3026" s="33"/>
      <c r="G3026" s="34" t="str">
        <f>[1]Source!DI3143</f>
        <v>)*2*398</v>
      </c>
      <c r="H3026" s="4">
        <f>[1]Source!AV3143</f>
        <v>1</v>
      </c>
      <c r="I3026" s="4"/>
      <c r="J3026" s="33"/>
      <c r="K3026" s="33">
        <f>[1]Source!U3143</f>
        <v>348.80720000000002</v>
      </c>
      <c r="M3026"/>
      <c r="N3026"/>
      <c r="O3026"/>
      <c r="P3026"/>
      <c r="Q3026"/>
    </row>
    <row r="3027" spans="1:43" ht="15" x14ac:dyDescent="0.25">
      <c r="A3027" s="35"/>
      <c r="B3027" s="35"/>
      <c r="C3027" s="35"/>
      <c r="D3027" s="35"/>
      <c r="E3027" s="35"/>
      <c r="F3027" s="35"/>
      <c r="G3027" s="35"/>
      <c r="H3027" s="35"/>
      <c r="I3027" s="36">
        <f>J3023+J3024+J3025</f>
        <v>155662.69</v>
      </c>
      <c r="J3027" s="36"/>
      <c r="K3027" s="37">
        <f>IF([1]Source!I3143&lt;&gt;0, ROUND(I3027/[1]Source!I3143, 2), 0)</f>
        <v>49732.49</v>
      </c>
      <c r="M3027"/>
      <c r="N3027"/>
      <c r="O3027"/>
      <c r="P3027"/>
      <c r="Q3027"/>
      <c r="AA3027" s="38">
        <f>I3027</f>
        <v>155662.69</v>
      </c>
    </row>
    <row r="3028" spans="1:43" ht="28.5" x14ac:dyDescent="0.2">
      <c r="A3028" s="31">
        <v>394</v>
      </c>
      <c r="B3028" s="31" t="str">
        <f>[1]Source!F3144</f>
        <v>5.3-1101-14-1/1</v>
      </c>
      <c r="C3028" s="31" t="str">
        <f>[1]Source!G3144</f>
        <v>Полив дорожек из шланга вручную( мытье поверхности)</v>
      </c>
      <c r="D3028" s="32" t="str">
        <f>[1]Source!H3144</f>
        <v>100 м2</v>
      </c>
      <c r="E3028" s="4">
        <f>[1]Source!I3144</f>
        <v>3.13</v>
      </c>
      <c r="F3028" s="33"/>
      <c r="G3028" s="34"/>
      <c r="H3028" s="4"/>
      <c r="I3028" s="4"/>
      <c r="J3028" s="33"/>
      <c r="K3028" s="33"/>
      <c r="M3028"/>
      <c r="N3028"/>
      <c r="O3028"/>
      <c r="P3028"/>
      <c r="Q3028"/>
      <c r="AB3028">
        <f>ROUND(([1]Source!BZ3144/100)*ROUND(([1]Source!AF3144*[1]Source!AV3144)*[1]Source!I3144, 2), 2)</f>
        <v>4095.72</v>
      </c>
      <c r="AC3028">
        <f>[1]Source!X3144</f>
        <v>4095.72</v>
      </c>
      <c r="AD3028">
        <f>ROUND(([1]Source!CA3144/100)*ROUND(([1]Source!AF3144*[1]Source!AV3144)*[1]Source!I3144, 2), 2)</f>
        <v>585.1</v>
      </c>
      <c r="AE3028">
        <f>[1]Source!Y3144</f>
        <v>585.1</v>
      </c>
      <c r="AF3028">
        <f>ROUND((175/100)*ROUND(([1]Source!AE3144*[1]Source!AV3144)*[1]Source!I3144, 2), 2)</f>
        <v>0</v>
      </c>
      <c r="AG3028">
        <f>ROUND((108/100)*ROUND([1]Source!CS3144*[1]Source!I3144, 2), 2)</f>
        <v>0</v>
      </c>
    </row>
    <row r="3029" spans="1:43" x14ac:dyDescent="0.2">
      <c r="C3029" s="40" t="str">
        <f>"Объем: "&amp;[1]Source!I3144&amp;"=313/"&amp;"100"</f>
        <v>Объем: 3,13=313/100</v>
      </c>
      <c r="M3029"/>
      <c r="N3029"/>
      <c r="O3029"/>
      <c r="P3029"/>
      <c r="Q3029"/>
    </row>
    <row r="3030" spans="1:43" ht="14.25" x14ac:dyDescent="0.2">
      <c r="A3030" s="31"/>
      <c r="B3030" s="31"/>
      <c r="C3030" s="31" t="s">
        <v>34</v>
      </c>
      <c r="D3030" s="32"/>
      <c r="E3030" s="4"/>
      <c r="F3030" s="33">
        <f>[1]Source!AO3144</f>
        <v>32.229999999999997</v>
      </c>
      <c r="G3030" s="34" t="str">
        <f>[1]Source!DG3144</f>
        <v>)*1*58</v>
      </c>
      <c r="H3030" s="4">
        <f>[1]Source!AV3144</f>
        <v>1</v>
      </c>
      <c r="I3030" s="4">
        <f>IF([1]Source!BA3144&lt;&gt; 0, [1]Source!BA3144, 1)</f>
        <v>1</v>
      </c>
      <c r="J3030" s="33">
        <f>[1]Source!S3144</f>
        <v>5851.03</v>
      </c>
      <c r="K3030" s="33"/>
      <c r="M3030"/>
      <c r="N3030"/>
      <c r="O3030"/>
      <c r="P3030"/>
      <c r="Q3030"/>
    </row>
    <row r="3031" spans="1:43" ht="14.25" x14ac:dyDescent="0.2">
      <c r="A3031" s="31"/>
      <c r="B3031" s="31"/>
      <c r="C3031" s="31" t="s">
        <v>47</v>
      </c>
      <c r="D3031" s="32"/>
      <c r="E3031" s="4"/>
      <c r="F3031" s="33">
        <f>[1]Source!AL3144</f>
        <v>4.24</v>
      </c>
      <c r="G3031" s="34" t="str">
        <f>[1]Source!DD3144</f>
        <v>)*1*58</v>
      </c>
      <c r="H3031" s="4">
        <f>[1]Source!AW3144</f>
        <v>1</v>
      </c>
      <c r="I3031" s="4">
        <f>IF([1]Source!BC3144&lt;&gt; 0, [1]Source!BC3144, 1)</f>
        <v>1</v>
      </c>
      <c r="J3031" s="33">
        <f>[1]Source!P3144</f>
        <v>769.73</v>
      </c>
      <c r="K3031" s="33"/>
      <c r="M3031"/>
      <c r="N3031"/>
      <c r="O3031"/>
      <c r="P3031"/>
      <c r="Q3031"/>
    </row>
    <row r="3032" spans="1:43" ht="14.25" x14ac:dyDescent="0.2">
      <c r="A3032" s="31" t="s">
        <v>136</v>
      </c>
      <c r="B3032" s="31" t="str">
        <f>[1]Source!F3145</f>
        <v>21.1-25-13</v>
      </c>
      <c r="C3032" s="31" t="str">
        <f>[1]Source!G3145</f>
        <v>Вода</v>
      </c>
      <c r="D3032" s="32" t="str">
        <f>[1]Source!H3145</f>
        <v>м3</v>
      </c>
      <c r="E3032" s="4">
        <f>[1]Source!I3145</f>
        <v>-18.154</v>
      </c>
      <c r="F3032" s="33">
        <f>[1]Source!AK3145</f>
        <v>42.44</v>
      </c>
      <c r="G3032" s="39" t="s">
        <v>121</v>
      </c>
      <c r="H3032" s="4">
        <f>[1]Source!AW3145</f>
        <v>1</v>
      </c>
      <c r="I3032" s="4">
        <f>IF([1]Source!BC3145&lt;&gt; 0, [1]Source!BC3145, 1)</f>
        <v>1</v>
      </c>
      <c r="J3032" s="33">
        <f>[1]Source!O3145</f>
        <v>-770.46</v>
      </c>
      <c r="K3032" s="33"/>
      <c r="M3032"/>
      <c r="N3032"/>
      <c r="O3032"/>
      <c r="P3032"/>
      <c r="Q3032"/>
      <c r="AB3032">
        <f>ROUND(([1]Source!BZ3145/100)*ROUND(([1]Source!AF3145*[1]Source!AV3145)*[1]Source!I3145, 2), 2)</f>
        <v>0</v>
      </c>
      <c r="AC3032">
        <f>[1]Source!X3145</f>
        <v>0</v>
      </c>
      <c r="AD3032">
        <f>ROUND(([1]Source!CA3145/100)*ROUND(([1]Source!AF3145*[1]Source!AV3145)*[1]Source!I3145, 2), 2)</f>
        <v>0</v>
      </c>
      <c r="AE3032">
        <f>[1]Source!Y3145</f>
        <v>0</v>
      </c>
      <c r="AF3032">
        <f>ROUND((175/100)*ROUND(([1]Source!AE3145*[1]Source!AV3145)*[1]Source!I3145, 2), 2)</f>
        <v>0</v>
      </c>
      <c r="AG3032">
        <f>ROUND((108/100)*ROUND([1]Source!CS3145*[1]Source!I3145, 2), 2)</f>
        <v>0</v>
      </c>
    </row>
    <row r="3033" spans="1:43" ht="14.25" x14ac:dyDescent="0.2">
      <c r="A3033" s="31"/>
      <c r="B3033" s="31"/>
      <c r="C3033" s="31" t="s">
        <v>40</v>
      </c>
      <c r="D3033" s="32" t="s">
        <v>39</v>
      </c>
      <c r="E3033" s="4">
        <f>[1]Source!AT3144</f>
        <v>70</v>
      </c>
      <c r="F3033" s="33"/>
      <c r="G3033" s="34"/>
      <c r="H3033" s="4"/>
      <c r="I3033" s="4"/>
      <c r="J3033" s="33">
        <f>SUM(AC3028:AC3032)</f>
        <v>4095.72</v>
      </c>
      <c r="K3033" s="33"/>
      <c r="M3033"/>
      <c r="N3033"/>
      <c r="O3033"/>
      <c r="P3033"/>
      <c r="Q3033"/>
    </row>
    <row r="3034" spans="1:43" ht="14.25" x14ac:dyDescent="0.2">
      <c r="A3034" s="31"/>
      <c r="B3034" s="31"/>
      <c r="C3034" s="31" t="s">
        <v>41</v>
      </c>
      <c r="D3034" s="32" t="s">
        <v>39</v>
      </c>
      <c r="E3034" s="4">
        <f>[1]Source!AU3144</f>
        <v>10</v>
      </c>
      <c r="F3034" s="33"/>
      <c r="G3034" s="34"/>
      <c r="H3034" s="4"/>
      <c r="I3034" s="4"/>
      <c r="J3034" s="33">
        <f>SUM(AE3028:AE3033)</f>
        <v>585.1</v>
      </c>
      <c r="K3034" s="33"/>
      <c r="M3034"/>
      <c r="N3034"/>
      <c r="O3034"/>
      <c r="P3034"/>
      <c r="Q3034"/>
    </row>
    <row r="3035" spans="1:43" ht="14.25" x14ac:dyDescent="0.2">
      <c r="A3035" s="31"/>
      <c r="B3035" s="31"/>
      <c r="C3035" s="31" t="s">
        <v>42</v>
      </c>
      <c r="D3035" s="32" t="s">
        <v>43</v>
      </c>
      <c r="E3035" s="4">
        <f>[1]Source!AQ3144</f>
        <v>0.13</v>
      </c>
      <c r="F3035" s="33"/>
      <c r="G3035" s="34" t="str">
        <f>[1]Source!DI3144</f>
        <v>)*1*58</v>
      </c>
      <c r="H3035" s="4">
        <f>[1]Source!AV3144</f>
        <v>1</v>
      </c>
      <c r="I3035" s="4"/>
      <c r="J3035" s="33"/>
      <c r="K3035" s="33">
        <f>[1]Source!U3144</f>
        <v>23.600200000000001</v>
      </c>
      <c r="M3035"/>
      <c r="N3035"/>
      <c r="O3035"/>
      <c r="P3035"/>
      <c r="Q3035"/>
    </row>
    <row r="3036" spans="1:43" ht="15" x14ac:dyDescent="0.25">
      <c r="A3036" s="35"/>
      <c r="B3036" s="35"/>
      <c r="C3036" s="35"/>
      <c r="D3036" s="35"/>
      <c r="E3036" s="35"/>
      <c r="F3036" s="35"/>
      <c r="G3036" s="35"/>
      <c r="H3036" s="35"/>
      <c r="I3036" s="36">
        <f>J3030+J3031+J3033+J3034+SUM(J3032:J3032)</f>
        <v>10531.119999999999</v>
      </c>
      <c r="J3036" s="36"/>
      <c r="K3036" s="37">
        <f>IF([1]Source!I3144&lt;&gt;0, ROUND(I3036/[1]Source!I3144, 2), 0)</f>
        <v>3364.58</v>
      </c>
      <c r="M3036"/>
      <c r="N3036"/>
      <c r="O3036"/>
      <c r="P3036"/>
      <c r="Q3036"/>
      <c r="AA3036" s="38">
        <f>I3036</f>
        <v>10531.119999999999</v>
      </c>
    </row>
    <row r="3037" spans="1:43" x14ac:dyDescent="0.2">
      <c r="M3037"/>
      <c r="N3037"/>
      <c r="O3037"/>
      <c r="P3037"/>
      <c r="Q3037"/>
    </row>
    <row r="3038" spans="1:43" ht="30" x14ac:dyDescent="0.25">
      <c r="A3038" s="42" t="str">
        <f>CONCATENATE("Итого по разделу: ",IF([1]Source!G3147&lt;&gt;"Новый раздел", [1]Source!G3147, ""))</f>
        <v>Итого по разделу: Содержание покрытий террасной доской ( S= 313 м2; 195 м2-террасная доска Восход верх, 118 м2-гастроцентр верх)</v>
      </c>
      <c r="B3038" s="42"/>
      <c r="C3038" s="42"/>
      <c r="D3038" s="42"/>
      <c r="E3038" s="42"/>
      <c r="F3038" s="42"/>
      <c r="G3038" s="42"/>
      <c r="H3038" s="42"/>
      <c r="I3038" s="43">
        <f>SUM(AA3020:AA3037)</f>
        <v>166193.81</v>
      </c>
      <c r="J3038" s="44"/>
      <c r="K3038" s="47"/>
      <c r="L3038" s="38">
        <f>I3038</f>
        <v>166193.81</v>
      </c>
      <c r="M3038" s="2">
        <f>ROUND(I3038*$I$4874,2)</f>
        <v>120026.31</v>
      </c>
      <c r="N3038" s="2">
        <f>ROUND(M3038*1.2/105*100,2)</f>
        <v>137172.93</v>
      </c>
      <c r="O3038" s="2">
        <f>ROUND(N3038*0.05,2)</f>
        <v>6858.65</v>
      </c>
      <c r="P3038" s="2">
        <f>N3038+O3038</f>
        <v>144031.57999999999</v>
      </c>
      <c r="Q3038" s="3">
        <v>87</v>
      </c>
      <c r="R3038">
        <v>2</v>
      </c>
      <c r="S3038" s="2">
        <v>0</v>
      </c>
      <c r="AQ3038" s="46" t="str">
        <f>CONCATENATE("Итого по разделу: ",IF([1]Source!G3147&lt;&gt;"Новый раздел", [1]Source!G3147, ""))</f>
        <v>Итого по разделу: Содержание покрытий террасной доской ( S= 313 м2; 195 м2-террасная доска Восход верх, 118 м2-гастроцентр верх)</v>
      </c>
    </row>
    <row r="3039" spans="1:43" x14ac:dyDescent="0.2">
      <c r="M3039"/>
      <c r="N3039"/>
      <c r="O3039"/>
      <c r="P3039"/>
      <c r="Q3039"/>
    </row>
    <row r="3040" spans="1:43" x14ac:dyDescent="0.2">
      <c r="M3040"/>
      <c r="N3040"/>
      <c r="O3040"/>
      <c r="P3040"/>
      <c r="Q3040"/>
    </row>
    <row r="3041" spans="1:42" ht="33" x14ac:dyDescent="0.25">
      <c r="A3041" s="29" t="str">
        <f>CONCATENATE("Раздел: ",IF([1]Source!G3177&lt;&gt;"Новый раздел", [1]Source!G3177, ""))</f>
        <v>Раздел: Содержание покрытия брусом( лавочка ресторана " Восход "-14,87 м2, лавочка кафе "Гастрономический центр-99,9 м2).</v>
      </c>
      <c r="B3041" s="29"/>
      <c r="C3041" s="29"/>
      <c r="D3041" s="29"/>
      <c r="E3041" s="29"/>
      <c r="F3041" s="29"/>
      <c r="G3041" s="29"/>
      <c r="H3041" s="29"/>
      <c r="I3041" s="29"/>
      <c r="J3041" s="29"/>
      <c r="K3041" s="29"/>
      <c r="M3041"/>
      <c r="N3041"/>
      <c r="O3041"/>
      <c r="P3041"/>
      <c r="Q3041"/>
      <c r="AP3041" s="30" t="str">
        <f>CONCATENATE("Раздел: ",IF([1]Source!G3177&lt;&gt;"Новый раздел", [1]Source!G3177, ""))</f>
        <v>Раздел: Содержание покрытия брусом( лавочка ресторана " Восход "-14,87 м2, лавочка кафе "Гастрономический центр-99,9 м2).</v>
      </c>
    </row>
    <row r="3042" spans="1:42" ht="14.25" x14ac:dyDescent="0.2">
      <c r="A3042" s="31">
        <v>395</v>
      </c>
      <c r="B3042" s="31" t="str">
        <f>[1]Source!F3181</f>
        <v>5.3-1101-10-1/1</v>
      </c>
      <c r="C3042" s="31" t="str">
        <f>[1]Source!G3181</f>
        <v>Протирка садовых диванов и скамеек</v>
      </c>
      <c r="D3042" s="32" t="str">
        <f>[1]Source!H3181</f>
        <v>100 м2</v>
      </c>
      <c r="E3042" s="4">
        <f>[1]Source!I3181</f>
        <v>1.1476999999999999</v>
      </c>
      <c r="F3042" s="33"/>
      <c r="G3042" s="34"/>
      <c r="H3042" s="4"/>
      <c r="I3042" s="4"/>
      <c r="J3042" s="33"/>
      <c r="K3042" s="33"/>
      <c r="M3042"/>
      <c r="N3042"/>
      <c r="O3042"/>
      <c r="P3042"/>
      <c r="Q3042"/>
      <c r="AB3042">
        <f>ROUND(([1]Source!BZ3181/100)*ROUND(([1]Source!AF3181*[1]Source!AV3181)*[1]Source!I3181, 2), 2)</f>
        <v>138034.57999999999</v>
      </c>
      <c r="AC3042">
        <f>[1]Source!X3181</f>
        <v>138034.57999999999</v>
      </c>
      <c r="AD3042">
        <f>ROUND(([1]Source!CA3181/100)*ROUND(([1]Source!AF3181*[1]Source!AV3181)*[1]Source!I3181, 2), 2)</f>
        <v>19719.23</v>
      </c>
      <c r="AE3042">
        <f>[1]Source!Y3181</f>
        <v>19719.23</v>
      </c>
      <c r="AF3042">
        <f>ROUND((175/100)*ROUND(([1]Source!AE3181*[1]Source!AV3181)*[1]Source!I3181, 2), 2)</f>
        <v>0</v>
      </c>
      <c r="AG3042">
        <f>ROUND((108/100)*ROUND([1]Source!CS3181*[1]Source!I3181, 2), 2)</f>
        <v>0</v>
      </c>
    </row>
    <row r="3043" spans="1:42" x14ac:dyDescent="0.2">
      <c r="C3043" s="40" t="str">
        <f>"Объем: "&amp;[1]Source!I3181&amp;"=114,77/"&amp;"100"</f>
        <v>Объем: 1,1477=114,77/100</v>
      </c>
      <c r="M3043"/>
      <c r="N3043"/>
      <c r="O3043"/>
      <c r="P3043"/>
      <c r="Q3043"/>
    </row>
    <row r="3044" spans="1:42" ht="14.25" x14ac:dyDescent="0.2">
      <c r="A3044" s="31"/>
      <c r="B3044" s="31"/>
      <c r="C3044" s="31" t="s">
        <v>34</v>
      </c>
      <c r="D3044" s="32"/>
      <c r="E3044" s="4"/>
      <c r="F3044" s="33">
        <f>[1]Source!AO3181</f>
        <v>1301.6300000000001</v>
      </c>
      <c r="G3044" s="34" t="str">
        <f>[1]Source!DG3181</f>
        <v>)*1*132</v>
      </c>
      <c r="H3044" s="4">
        <f>[1]Source!AV3181</f>
        <v>1</v>
      </c>
      <c r="I3044" s="4">
        <f>IF([1]Source!BA3181&lt;&gt; 0, [1]Source!BA3181, 1)</f>
        <v>1</v>
      </c>
      <c r="J3044" s="33">
        <f>[1]Source!S3181</f>
        <v>197192.26</v>
      </c>
      <c r="K3044" s="33"/>
      <c r="M3044"/>
      <c r="N3044"/>
      <c r="O3044"/>
      <c r="P3044"/>
      <c r="Q3044"/>
    </row>
    <row r="3045" spans="1:42" ht="14.25" x14ac:dyDescent="0.2">
      <c r="A3045" s="31"/>
      <c r="B3045" s="31"/>
      <c r="C3045" s="31" t="s">
        <v>47</v>
      </c>
      <c r="D3045" s="32"/>
      <c r="E3045" s="4"/>
      <c r="F3045" s="33">
        <f>[1]Source!AL3181</f>
        <v>2.71</v>
      </c>
      <c r="G3045" s="34" t="str">
        <f>[1]Source!DD3181</f>
        <v>)*1*132</v>
      </c>
      <c r="H3045" s="4">
        <f>[1]Source!AW3181</f>
        <v>1</v>
      </c>
      <c r="I3045" s="4">
        <f>IF([1]Source!BC3181&lt;&gt; 0, [1]Source!BC3181, 1)</f>
        <v>1</v>
      </c>
      <c r="J3045" s="33">
        <f>[1]Source!P3181</f>
        <v>410.56</v>
      </c>
      <c r="K3045" s="33"/>
      <c r="M3045"/>
      <c r="N3045"/>
      <c r="O3045"/>
      <c r="P3045"/>
      <c r="Q3045"/>
    </row>
    <row r="3046" spans="1:42" ht="14.25" x14ac:dyDescent="0.2">
      <c r="A3046" s="31" t="s">
        <v>137</v>
      </c>
      <c r="B3046" s="31" t="str">
        <f>[1]Source!F3182</f>
        <v>21.1-25-13</v>
      </c>
      <c r="C3046" s="31" t="str">
        <f>[1]Source!G3182</f>
        <v>Вода</v>
      </c>
      <c r="D3046" s="32" t="str">
        <f>[1]Source!H3182</f>
        <v>м3</v>
      </c>
      <c r="E3046" s="4">
        <f>[1]Source!I3182</f>
        <v>-1.514964</v>
      </c>
      <c r="F3046" s="33">
        <f>[1]Source!AK3182</f>
        <v>42.44</v>
      </c>
      <c r="G3046" s="39" t="s">
        <v>132</v>
      </c>
      <c r="H3046" s="4">
        <f>[1]Source!AW3182</f>
        <v>1</v>
      </c>
      <c r="I3046" s="4">
        <f>IF([1]Source!BC3182&lt;&gt; 0, [1]Source!BC3182, 1)</f>
        <v>1</v>
      </c>
      <c r="J3046" s="33">
        <f>[1]Source!O3182</f>
        <v>-64.3</v>
      </c>
      <c r="K3046" s="33"/>
      <c r="M3046"/>
      <c r="N3046"/>
      <c r="O3046"/>
      <c r="P3046"/>
      <c r="Q3046"/>
      <c r="AB3046">
        <f>ROUND(([1]Source!BZ3182/100)*ROUND(([1]Source!AF3182*[1]Source!AV3182)*[1]Source!I3182, 2), 2)</f>
        <v>0</v>
      </c>
      <c r="AC3046">
        <f>[1]Source!X3182</f>
        <v>0</v>
      </c>
      <c r="AD3046">
        <f>ROUND(([1]Source!CA3182/100)*ROUND(([1]Source!AF3182*[1]Source!AV3182)*[1]Source!I3182, 2), 2)</f>
        <v>0</v>
      </c>
      <c r="AE3046">
        <f>[1]Source!Y3182</f>
        <v>0</v>
      </c>
      <c r="AF3046">
        <f>ROUND((175/100)*ROUND(([1]Source!AE3182*[1]Source!AV3182)*[1]Source!I3182, 2), 2)</f>
        <v>0</v>
      </c>
      <c r="AG3046">
        <f>ROUND((108/100)*ROUND([1]Source!CS3182*[1]Source!I3182, 2), 2)</f>
        <v>0</v>
      </c>
    </row>
    <row r="3047" spans="1:42" ht="14.25" x14ac:dyDescent="0.2">
      <c r="A3047" s="31"/>
      <c r="B3047" s="31"/>
      <c r="C3047" s="31" t="s">
        <v>40</v>
      </c>
      <c r="D3047" s="32" t="s">
        <v>39</v>
      </c>
      <c r="E3047" s="4">
        <f>[1]Source!AT3181</f>
        <v>70</v>
      </c>
      <c r="F3047" s="33"/>
      <c r="G3047" s="34"/>
      <c r="H3047" s="4"/>
      <c r="I3047" s="4"/>
      <c r="J3047" s="33">
        <f>SUM(AC3042:AC3046)</f>
        <v>138034.57999999999</v>
      </c>
      <c r="K3047" s="33"/>
      <c r="M3047"/>
      <c r="N3047"/>
      <c r="O3047"/>
      <c r="P3047"/>
      <c r="Q3047"/>
    </row>
    <row r="3048" spans="1:42" ht="14.25" x14ac:dyDescent="0.2">
      <c r="A3048" s="31"/>
      <c r="B3048" s="31"/>
      <c r="C3048" s="31" t="s">
        <v>41</v>
      </c>
      <c r="D3048" s="32" t="s">
        <v>39</v>
      </c>
      <c r="E3048" s="4">
        <f>[1]Source!AU3181</f>
        <v>10</v>
      </c>
      <c r="F3048" s="33"/>
      <c r="G3048" s="34"/>
      <c r="H3048" s="4"/>
      <c r="I3048" s="4"/>
      <c r="J3048" s="33">
        <f>SUM(AE3042:AE3047)</f>
        <v>19719.23</v>
      </c>
      <c r="K3048" s="33"/>
      <c r="M3048"/>
      <c r="N3048"/>
      <c r="O3048"/>
      <c r="P3048"/>
      <c r="Q3048"/>
    </row>
    <row r="3049" spans="1:42" ht="14.25" x14ac:dyDescent="0.2">
      <c r="A3049" s="31"/>
      <c r="B3049" s="31"/>
      <c r="C3049" s="31" t="s">
        <v>42</v>
      </c>
      <c r="D3049" s="32" t="s">
        <v>43</v>
      </c>
      <c r="E3049" s="4">
        <f>[1]Source!AQ3181</f>
        <v>5.25</v>
      </c>
      <c r="F3049" s="33"/>
      <c r="G3049" s="34" t="str">
        <f>[1]Source!DI3181</f>
        <v>)*1*132</v>
      </c>
      <c r="H3049" s="4">
        <f>[1]Source!AV3181</f>
        <v>1</v>
      </c>
      <c r="I3049" s="4"/>
      <c r="J3049" s="33"/>
      <c r="K3049" s="33">
        <f>[1]Source!U3181</f>
        <v>795.35609999999997</v>
      </c>
      <c r="M3049"/>
      <c r="N3049"/>
      <c r="O3049"/>
      <c r="P3049"/>
      <c r="Q3049"/>
    </row>
    <row r="3050" spans="1:42" ht="15" x14ac:dyDescent="0.25">
      <c r="A3050" s="35"/>
      <c r="B3050" s="35"/>
      <c r="C3050" s="35"/>
      <c r="D3050" s="35"/>
      <c r="E3050" s="35"/>
      <c r="F3050" s="35"/>
      <c r="G3050" s="35"/>
      <c r="H3050" s="35"/>
      <c r="I3050" s="36">
        <f>J3044+J3045+J3047+J3048+SUM(J3046:J3046)</f>
        <v>355292.33</v>
      </c>
      <c r="J3050" s="36"/>
      <c r="K3050" s="37">
        <f>IF([1]Source!I3181&lt;&gt;0, ROUND(I3050/[1]Source!I3181, 2), 0)</f>
        <v>309568.99</v>
      </c>
      <c r="M3050"/>
      <c r="N3050"/>
      <c r="O3050"/>
      <c r="P3050"/>
      <c r="Q3050"/>
      <c r="AA3050" s="38">
        <f>I3050</f>
        <v>355292.33</v>
      </c>
    </row>
    <row r="3051" spans="1:42" ht="14.25" x14ac:dyDescent="0.2">
      <c r="A3051" s="31">
        <v>396</v>
      </c>
      <c r="B3051" s="31" t="str">
        <f>[1]Source!F3183</f>
        <v>5.3-1101-9-1/1</v>
      </c>
      <c r="C3051" s="31" t="str">
        <f>[1]Source!G3183</f>
        <v>Мытье садовых диванов и скамеек</v>
      </c>
      <c r="D3051" s="32" t="str">
        <f>[1]Source!H3183</f>
        <v>100 м2</v>
      </c>
      <c r="E3051" s="4">
        <f>[1]Source!I3183</f>
        <v>1.1476999999999999</v>
      </c>
      <c r="F3051" s="33"/>
      <c r="G3051" s="34"/>
      <c r="H3051" s="4"/>
      <c r="I3051" s="4"/>
      <c r="J3051" s="33"/>
      <c r="K3051" s="33"/>
      <c r="M3051"/>
      <c r="N3051"/>
      <c r="O3051"/>
      <c r="P3051"/>
      <c r="Q3051"/>
      <c r="AB3051">
        <f>ROUND(([1]Source!BZ3183/100)*ROUND(([1]Source!AF3183*[1]Source!AV3183)*[1]Source!I3183, 2), 2)</f>
        <v>13767.66</v>
      </c>
      <c r="AC3051">
        <f>[1]Source!X3183</f>
        <v>13767.66</v>
      </c>
      <c r="AD3051">
        <f>ROUND(([1]Source!CA3183/100)*ROUND(([1]Source!AF3183*[1]Source!AV3183)*[1]Source!I3183, 2), 2)</f>
        <v>1966.81</v>
      </c>
      <c r="AE3051">
        <f>[1]Source!Y3183</f>
        <v>1966.81</v>
      </c>
      <c r="AF3051">
        <f>ROUND((175/100)*ROUND(([1]Source!AE3183*[1]Source!AV3183)*[1]Source!I3183, 2), 2)</f>
        <v>0</v>
      </c>
      <c r="AG3051">
        <f>ROUND((108/100)*ROUND([1]Source!CS3183*[1]Source!I3183, 2), 2)</f>
        <v>0</v>
      </c>
    </row>
    <row r="3052" spans="1:42" x14ac:dyDescent="0.2">
      <c r="C3052" s="40" t="str">
        <f>"Объем: "&amp;[1]Source!I3183&amp;"=114,77/"&amp;"100"</f>
        <v>Объем: 1,1477=114,77/100</v>
      </c>
      <c r="M3052"/>
      <c r="N3052"/>
      <c r="O3052"/>
      <c r="P3052"/>
      <c r="Q3052"/>
    </row>
    <row r="3053" spans="1:42" ht="14.25" x14ac:dyDescent="0.2">
      <c r="A3053" s="31"/>
      <c r="B3053" s="31"/>
      <c r="C3053" s="31" t="s">
        <v>34</v>
      </c>
      <c r="D3053" s="32"/>
      <c r="E3053" s="4"/>
      <c r="F3053" s="33">
        <f>[1]Source!AO3183</f>
        <v>1428.08</v>
      </c>
      <c r="G3053" s="34" t="str">
        <f>[1]Source!DG3183</f>
        <v>)*1*12</v>
      </c>
      <c r="H3053" s="4">
        <f>[1]Source!AV3183</f>
        <v>1</v>
      </c>
      <c r="I3053" s="4">
        <f>IF([1]Source!BA3183&lt;&gt; 0, [1]Source!BA3183, 1)</f>
        <v>1</v>
      </c>
      <c r="J3053" s="33">
        <f>[1]Source!S3183</f>
        <v>19668.09</v>
      </c>
      <c r="K3053" s="33"/>
      <c r="M3053"/>
      <c r="N3053"/>
      <c r="O3053"/>
      <c r="P3053"/>
      <c r="Q3053"/>
    </row>
    <row r="3054" spans="1:42" ht="14.25" x14ac:dyDescent="0.2">
      <c r="A3054" s="31"/>
      <c r="B3054" s="31"/>
      <c r="C3054" s="31" t="s">
        <v>47</v>
      </c>
      <c r="D3054" s="32"/>
      <c r="E3054" s="4"/>
      <c r="F3054" s="33">
        <f>[1]Source!AL3183</f>
        <v>5.42</v>
      </c>
      <c r="G3054" s="34" t="str">
        <f>[1]Source!DD3183</f>
        <v>)*1*12</v>
      </c>
      <c r="H3054" s="4">
        <f>[1]Source!AW3183</f>
        <v>1</v>
      </c>
      <c r="I3054" s="4">
        <f>IF([1]Source!BC3183&lt;&gt; 0, [1]Source!BC3183, 1)</f>
        <v>1</v>
      </c>
      <c r="J3054" s="33">
        <f>[1]Source!P3183</f>
        <v>74.650000000000006</v>
      </c>
      <c r="K3054" s="33"/>
      <c r="M3054"/>
      <c r="N3054"/>
      <c r="O3054"/>
      <c r="P3054"/>
      <c r="Q3054"/>
    </row>
    <row r="3055" spans="1:42" ht="14.25" x14ac:dyDescent="0.2">
      <c r="A3055" s="31" t="s">
        <v>138</v>
      </c>
      <c r="B3055" s="31" t="str">
        <f>[1]Source!F3184</f>
        <v>21.1-25-13</v>
      </c>
      <c r="C3055" s="31" t="str">
        <f>[1]Source!G3184</f>
        <v>Вода</v>
      </c>
      <c r="D3055" s="32" t="str">
        <f>[1]Source!H3184</f>
        <v>м3</v>
      </c>
      <c r="E3055" s="4">
        <f>[1]Source!I3184</f>
        <v>-0.27544800000000003</v>
      </c>
      <c r="F3055" s="33">
        <f>[1]Source!AK3184</f>
        <v>42.44</v>
      </c>
      <c r="G3055" s="39" t="s">
        <v>134</v>
      </c>
      <c r="H3055" s="4">
        <f>[1]Source!AW3184</f>
        <v>1</v>
      </c>
      <c r="I3055" s="4">
        <f>IF([1]Source!BC3184&lt;&gt; 0, [1]Source!BC3184, 1)</f>
        <v>1</v>
      </c>
      <c r="J3055" s="33">
        <f>[1]Source!O3184</f>
        <v>-11.69</v>
      </c>
      <c r="K3055" s="33"/>
      <c r="M3055"/>
      <c r="N3055"/>
      <c r="O3055"/>
      <c r="P3055"/>
      <c r="Q3055"/>
      <c r="AB3055">
        <f>ROUND(([1]Source!BZ3184/100)*ROUND(([1]Source!AF3184*[1]Source!AV3184)*[1]Source!I3184, 2), 2)</f>
        <v>0</v>
      </c>
      <c r="AC3055">
        <f>[1]Source!X3184</f>
        <v>0</v>
      </c>
      <c r="AD3055">
        <f>ROUND(([1]Source!CA3184/100)*ROUND(([1]Source!AF3184*[1]Source!AV3184)*[1]Source!I3184, 2), 2)</f>
        <v>0</v>
      </c>
      <c r="AE3055">
        <f>[1]Source!Y3184</f>
        <v>0</v>
      </c>
      <c r="AF3055">
        <f>ROUND((175/100)*ROUND(([1]Source!AE3184*[1]Source!AV3184)*[1]Source!I3184, 2), 2)</f>
        <v>0</v>
      </c>
      <c r="AG3055">
        <f>ROUND((108/100)*ROUND([1]Source!CS3184*[1]Source!I3184, 2), 2)</f>
        <v>0</v>
      </c>
    </row>
    <row r="3056" spans="1:42" ht="14.25" x14ac:dyDescent="0.2">
      <c r="A3056" s="31"/>
      <c r="B3056" s="31"/>
      <c r="C3056" s="31" t="s">
        <v>40</v>
      </c>
      <c r="D3056" s="32" t="s">
        <v>39</v>
      </c>
      <c r="E3056" s="4">
        <f>[1]Source!AT3183</f>
        <v>70</v>
      </c>
      <c r="F3056" s="33"/>
      <c r="G3056" s="34"/>
      <c r="H3056" s="4"/>
      <c r="I3056" s="4"/>
      <c r="J3056" s="33">
        <f>SUM(AC3051:AC3055)</f>
        <v>13767.66</v>
      </c>
      <c r="K3056" s="33"/>
      <c r="M3056"/>
      <c r="N3056"/>
      <c r="O3056"/>
      <c r="P3056"/>
      <c r="Q3056"/>
    </row>
    <row r="3057" spans="1:43" ht="14.25" x14ac:dyDescent="0.2">
      <c r="A3057" s="31"/>
      <c r="B3057" s="31"/>
      <c r="C3057" s="31" t="s">
        <v>41</v>
      </c>
      <c r="D3057" s="32" t="s">
        <v>39</v>
      </c>
      <c r="E3057" s="4">
        <f>[1]Source!AU3183</f>
        <v>10</v>
      </c>
      <c r="F3057" s="33"/>
      <c r="G3057" s="34"/>
      <c r="H3057" s="4"/>
      <c r="I3057" s="4"/>
      <c r="J3057" s="33">
        <f>SUM(AE3051:AE3056)</f>
        <v>1966.81</v>
      </c>
      <c r="K3057" s="33"/>
      <c r="M3057"/>
      <c r="N3057"/>
      <c r="O3057"/>
      <c r="P3057"/>
      <c r="Q3057"/>
    </row>
    <row r="3058" spans="1:43" ht="14.25" x14ac:dyDescent="0.2">
      <c r="A3058" s="31"/>
      <c r="B3058" s="31"/>
      <c r="C3058" s="31" t="s">
        <v>42</v>
      </c>
      <c r="D3058" s="32" t="s">
        <v>43</v>
      </c>
      <c r="E3058" s="4">
        <f>[1]Source!AQ3183</f>
        <v>5.76</v>
      </c>
      <c r="F3058" s="33"/>
      <c r="G3058" s="34" t="str">
        <f>[1]Source!DI3183</f>
        <v>)*1*12</v>
      </c>
      <c r="H3058" s="4">
        <f>[1]Source!AV3183</f>
        <v>1</v>
      </c>
      <c r="I3058" s="4"/>
      <c r="J3058" s="33"/>
      <c r="K3058" s="33">
        <f>[1]Source!U3183</f>
        <v>79.329024000000004</v>
      </c>
      <c r="M3058"/>
      <c r="N3058"/>
      <c r="O3058"/>
      <c r="P3058"/>
      <c r="Q3058"/>
    </row>
    <row r="3059" spans="1:43" ht="15" x14ac:dyDescent="0.25">
      <c r="A3059" s="35"/>
      <c r="B3059" s="35"/>
      <c r="C3059" s="35"/>
      <c r="D3059" s="35"/>
      <c r="E3059" s="35"/>
      <c r="F3059" s="35"/>
      <c r="G3059" s="35"/>
      <c r="H3059" s="35"/>
      <c r="I3059" s="36">
        <f>J3053+J3054+J3056+J3057+SUM(J3055:J3055)</f>
        <v>35465.519999999997</v>
      </c>
      <c r="J3059" s="36"/>
      <c r="K3059" s="37">
        <f>IF([1]Source!I3183&lt;&gt;0, ROUND(I3059/[1]Source!I3183, 2), 0)</f>
        <v>30901.39</v>
      </c>
      <c r="M3059"/>
      <c r="N3059"/>
      <c r="O3059"/>
      <c r="P3059"/>
      <c r="Q3059"/>
      <c r="AA3059" s="38">
        <f>I3059</f>
        <v>35465.519999999997</v>
      </c>
    </row>
    <row r="3060" spans="1:43" x14ac:dyDescent="0.2">
      <c r="M3060"/>
      <c r="N3060"/>
      <c r="O3060"/>
      <c r="P3060"/>
      <c r="Q3060"/>
    </row>
    <row r="3061" spans="1:43" ht="30" x14ac:dyDescent="0.25">
      <c r="A3061" s="42" t="str">
        <f>CONCATENATE("Итого по разделу: ",IF([1]Source!G3186&lt;&gt;"Новый раздел", [1]Source!G3186, ""))</f>
        <v>Итого по разделу: Содержание покрытия брусом( лавочка ресторана " Восход "-14,87 м2, лавочка кафе "Гастрономический центр-99,9 м2).</v>
      </c>
      <c r="B3061" s="42"/>
      <c r="C3061" s="42"/>
      <c r="D3061" s="42"/>
      <c r="E3061" s="42"/>
      <c r="F3061" s="42"/>
      <c r="G3061" s="42"/>
      <c r="H3061" s="42"/>
      <c r="I3061" s="43">
        <f>SUM(AA3041:AA3060)</f>
        <v>390757.85000000003</v>
      </c>
      <c r="J3061" s="44"/>
      <c r="K3061" s="47"/>
      <c r="L3061" s="38">
        <f>I3061</f>
        <v>390757.85000000003</v>
      </c>
      <c r="M3061" s="2">
        <f>ROUND(I3061*$I$4874,2)</f>
        <v>282208</v>
      </c>
      <c r="N3061" s="2">
        <f>ROUND(M3061*1.2/105*100,2)</f>
        <v>322523.43</v>
      </c>
      <c r="O3061" s="2">
        <f>ROUND(N3061*0.05,2)</f>
        <v>16126.17</v>
      </c>
      <c r="P3061" s="2">
        <f>N3061+O3061</f>
        <v>338649.59999999998</v>
      </c>
      <c r="Q3061" s="3">
        <v>88</v>
      </c>
      <c r="R3061">
        <v>2</v>
      </c>
      <c r="S3061" s="2">
        <v>0</v>
      </c>
      <c r="AQ3061" s="46" t="str">
        <f>CONCATENATE("Итого по разделу: ",IF([1]Source!G3186&lt;&gt;"Новый раздел", [1]Source!G3186, ""))</f>
        <v>Итого по разделу: Содержание покрытия брусом( лавочка ресторана " Восход "-14,87 м2, лавочка кафе "Гастрономический центр-99,9 м2).</v>
      </c>
    </row>
    <row r="3062" spans="1:43" x14ac:dyDescent="0.2">
      <c r="M3062"/>
      <c r="N3062"/>
      <c r="O3062"/>
      <c r="P3062"/>
      <c r="Q3062"/>
    </row>
    <row r="3063" spans="1:43" x14ac:dyDescent="0.2">
      <c r="M3063"/>
      <c r="N3063"/>
      <c r="O3063"/>
      <c r="P3063"/>
      <c r="Q3063"/>
    </row>
    <row r="3064" spans="1:43" ht="16.5" x14ac:dyDescent="0.25">
      <c r="A3064" s="29" t="str">
        <f>CONCATENATE("Раздел: ",IF([1]Source!G3216&lt;&gt;"Новый раздел", [1]Source!G3216, ""))</f>
        <v>Раздел: Уход за детскими площадками( S=274,5 м2)</v>
      </c>
      <c r="B3064" s="29"/>
      <c r="C3064" s="29"/>
      <c r="D3064" s="29"/>
      <c r="E3064" s="29"/>
      <c r="F3064" s="29"/>
      <c r="G3064" s="29"/>
      <c r="H3064" s="29"/>
      <c r="I3064" s="29"/>
      <c r="J3064" s="29"/>
      <c r="K3064" s="29"/>
      <c r="M3064"/>
      <c r="N3064"/>
      <c r="O3064"/>
      <c r="P3064"/>
      <c r="Q3064"/>
    </row>
    <row r="3065" spans="1:43" ht="42.75" x14ac:dyDescent="0.2">
      <c r="A3065" s="31">
        <v>397</v>
      </c>
      <c r="B3065" s="31" t="str">
        <f>[1]Source!F3220</f>
        <v>5.3-1101-19-1/1</v>
      </c>
      <c r="C3065" s="31" t="str">
        <f>[1]Source!G3220</f>
        <v>Уборка полиуретанового покрытия игровых площадок, спортивных дорожек и площадок вручную</v>
      </c>
      <c r="D3065" s="32" t="str">
        <f>[1]Source!H3220</f>
        <v>100 м2</v>
      </c>
      <c r="E3065" s="4">
        <f>[1]Source!I3220</f>
        <v>2.7450000000000001</v>
      </c>
      <c r="F3065" s="33"/>
      <c r="G3065" s="34"/>
      <c r="H3065" s="4"/>
      <c r="I3065" s="4"/>
      <c r="J3065" s="33"/>
      <c r="K3065" s="33"/>
      <c r="M3065"/>
      <c r="N3065"/>
      <c r="O3065"/>
      <c r="P3065"/>
      <c r="Q3065"/>
      <c r="AB3065">
        <f>ROUND(([1]Source!BZ3220/100)*ROUND(([1]Source!AF3220*[1]Source!AV3220)*[1]Source!I3220, 2), 2)</f>
        <v>62694.78</v>
      </c>
      <c r="AC3065">
        <f>[1]Source!X3220</f>
        <v>62694.78</v>
      </c>
      <c r="AD3065">
        <f>ROUND(([1]Source!CA3220/100)*ROUND(([1]Source!AF3220*[1]Source!AV3220)*[1]Source!I3220, 2), 2)</f>
        <v>8956.4</v>
      </c>
      <c r="AE3065">
        <f>[1]Source!Y3220</f>
        <v>8956.4</v>
      </c>
      <c r="AF3065">
        <f>ROUND((175/100)*ROUND(([1]Source!AE3220*[1]Source!AV3220)*[1]Source!I3220, 2), 2)</f>
        <v>0</v>
      </c>
      <c r="AG3065">
        <f>ROUND((108/100)*ROUND([1]Source!CS3220*[1]Source!I3220, 2), 2)</f>
        <v>0</v>
      </c>
    </row>
    <row r="3066" spans="1:43" x14ac:dyDescent="0.2">
      <c r="C3066" s="40" t="str">
        <f>"Объем: "&amp;[1]Source!I3220&amp;"=274,5/"&amp;"100"</f>
        <v>Объем: 2,745=274,5/100</v>
      </c>
      <c r="M3066"/>
      <c r="N3066"/>
      <c r="O3066"/>
      <c r="P3066"/>
      <c r="Q3066"/>
    </row>
    <row r="3067" spans="1:43" ht="14.25" x14ac:dyDescent="0.2">
      <c r="A3067" s="31"/>
      <c r="B3067" s="31"/>
      <c r="C3067" s="31" t="s">
        <v>34</v>
      </c>
      <c r="D3067" s="32"/>
      <c r="E3067" s="4"/>
      <c r="F3067" s="33">
        <f>[1]Source!AO3220</f>
        <v>40.99</v>
      </c>
      <c r="G3067" s="34" t="str">
        <f>[1]Source!DG3220</f>
        <v>)*2*398</v>
      </c>
      <c r="H3067" s="4">
        <f>[1]Source!AV3220</f>
        <v>1</v>
      </c>
      <c r="I3067" s="4">
        <f>IF([1]Source!BA3220&lt;&gt; 0, [1]Source!BA3220, 1)</f>
        <v>1</v>
      </c>
      <c r="J3067" s="33">
        <f>[1]Source!S3220</f>
        <v>89563.97</v>
      </c>
      <c r="K3067" s="33"/>
      <c r="M3067"/>
      <c r="N3067"/>
      <c r="O3067"/>
      <c r="P3067"/>
      <c r="Q3067"/>
    </row>
    <row r="3068" spans="1:43" ht="14.25" x14ac:dyDescent="0.2">
      <c r="A3068" s="31"/>
      <c r="B3068" s="31"/>
      <c r="C3068" s="31" t="s">
        <v>47</v>
      </c>
      <c r="D3068" s="32"/>
      <c r="E3068" s="4"/>
      <c r="F3068" s="33">
        <f>[1]Source!AL3220</f>
        <v>2.15</v>
      </c>
      <c r="G3068" s="34" t="str">
        <f>[1]Source!DD3220</f>
        <v>)*2*398</v>
      </c>
      <c r="H3068" s="4">
        <f>[1]Source!AW3220</f>
        <v>1</v>
      </c>
      <c r="I3068" s="4">
        <f>IF([1]Source!BC3220&lt;&gt; 0, [1]Source!BC3220, 1)</f>
        <v>1</v>
      </c>
      <c r="J3068" s="33">
        <f>[1]Source!P3220</f>
        <v>4697.79</v>
      </c>
      <c r="K3068" s="33"/>
      <c r="M3068"/>
      <c r="N3068"/>
      <c r="O3068"/>
      <c r="P3068"/>
      <c r="Q3068"/>
    </row>
    <row r="3069" spans="1:43" ht="14.25" x14ac:dyDescent="0.2">
      <c r="A3069" s="31"/>
      <c r="B3069" s="31"/>
      <c r="C3069" s="31" t="s">
        <v>40</v>
      </c>
      <c r="D3069" s="32" t="s">
        <v>39</v>
      </c>
      <c r="E3069" s="4">
        <f>[1]Source!AT3220</f>
        <v>70</v>
      </c>
      <c r="F3069" s="33"/>
      <c r="G3069" s="34"/>
      <c r="H3069" s="4"/>
      <c r="I3069" s="4"/>
      <c r="J3069" s="33">
        <f>SUM(AC3065:AC3068)</f>
        <v>62694.78</v>
      </c>
      <c r="K3069" s="33"/>
      <c r="M3069"/>
      <c r="N3069"/>
      <c r="O3069"/>
      <c r="P3069"/>
      <c r="Q3069"/>
    </row>
    <row r="3070" spans="1:43" ht="14.25" x14ac:dyDescent="0.2">
      <c r="A3070" s="31"/>
      <c r="B3070" s="31"/>
      <c r="C3070" s="31" t="s">
        <v>41</v>
      </c>
      <c r="D3070" s="32" t="s">
        <v>39</v>
      </c>
      <c r="E3070" s="4">
        <f>[1]Source!AU3220</f>
        <v>10</v>
      </c>
      <c r="F3070" s="33"/>
      <c r="G3070" s="34"/>
      <c r="H3070" s="4"/>
      <c r="I3070" s="4"/>
      <c r="J3070" s="33">
        <f>SUM(AE3065:AE3069)</f>
        <v>8956.4</v>
      </c>
      <c r="K3070" s="33"/>
      <c r="M3070"/>
      <c r="N3070"/>
      <c r="O3070"/>
      <c r="P3070"/>
      <c r="Q3070"/>
    </row>
    <row r="3071" spans="1:43" ht="14.25" x14ac:dyDescent="0.2">
      <c r="A3071" s="31"/>
      <c r="B3071" s="31"/>
      <c r="C3071" s="31" t="s">
        <v>42</v>
      </c>
      <c r="D3071" s="32" t="s">
        <v>43</v>
      </c>
      <c r="E3071" s="4">
        <f>[1]Source!AQ3220</f>
        <v>0.23</v>
      </c>
      <c r="F3071" s="33"/>
      <c r="G3071" s="34" t="str">
        <f>[1]Source!DI3220</f>
        <v>)*2*398</v>
      </c>
      <c r="H3071" s="4">
        <f>[1]Source!AV3220</f>
        <v>1</v>
      </c>
      <c r="I3071" s="4"/>
      <c r="J3071" s="33"/>
      <c r="K3071" s="33">
        <f>[1]Source!U3220</f>
        <v>502.55460000000005</v>
      </c>
      <c r="M3071"/>
      <c r="N3071"/>
      <c r="O3071"/>
      <c r="P3071"/>
      <c r="Q3071"/>
    </row>
    <row r="3072" spans="1:43" ht="15" x14ac:dyDescent="0.25">
      <c r="A3072" s="35"/>
      <c r="B3072" s="35"/>
      <c r="C3072" s="35"/>
      <c r="D3072" s="35"/>
      <c r="E3072" s="35"/>
      <c r="F3072" s="35"/>
      <c r="G3072" s="35"/>
      <c r="H3072" s="35"/>
      <c r="I3072" s="36">
        <f>J3067+J3068+J3069+J3070</f>
        <v>165912.93999999997</v>
      </c>
      <c r="J3072" s="36"/>
      <c r="K3072" s="37">
        <f>IF([1]Source!I3220&lt;&gt;0, ROUND(I3072/[1]Source!I3220, 2), 0)</f>
        <v>60441.87</v>
      </c>
      <c r="M3072"/>
      <c r="N3072"/>
      <c r="O3072"/>
      <c r="P3072"/>
      <c r="Q3072"/>
      <c r="AA3072" s="38">
        <f>I3072</f>
        <v>165912.93999999997</v>
      </c>
    </row>
    <row r="3073" spans="1:33" ht="28.5" x14ac:dyDescent="0.2">
      <c r="A3073" s="31">
        <v>398</v>
      </c>
      <c r="B3073" s="31" t="str">
        <f>[1]Source!F3221</f>
        <v>5.3-1101-14-1/1</v>
      </c>
      <c r="C3073" s="31" t="str">
        <f>[1]Source!G3221</f>
        <v>Полив дорожек из шланга вручную( полив площадки)</v>
      </c>
      <c r="D3073" s="32" t="str">
        <f>[1]Source!H3221</f>
        <v>100 м2</v>
      </c>
      <c r="E3073" s="4">
        <f>[1]Source!I3221</f>
        <v>2.7450000000000001</v>
      </c>
      <c r="F3073" s="33"/>
      <c r="G3073" s="34"/>
      <c r="H3073" s="4"/>
      <c r="I3073" s="4"/>
      <c r="J3073" s="33"/>
      <c r="K3073" s="33"/>
      <c r="M3073"/>
      <c r="N3073"/>
      <c r="O3073"/>
      <c r="P3073"/>
      <c r="Q3073"/>
      <c r="AB3073">
        <f>ROUND(([1]Source!BZ3221/100)*ROUND(([1]Source!AF3221*[1]Source!AV3221)*[1]Source!I3221, 2), 2)</f>
        <v>3591.94</v>
      </c>
      <c r="AC3073">
        <f>[1]Source!X3221</f>
        <v>3591.94</v>
      </c>
      <c r="AD3073">
        <f>ROUND(([1]Source!CA3221/100)*ROUND(([1]Source!AF3221*[1]Source!AV3221)*[1]Source!I3221, 2), 2)</f>
        <v>513.13</v>
      </c>
      <c r="AE3073">
        <f>[1]Source!Y3221</f>
        <v>513.13</v>
      </c>
      <c r="AF3073">
        <f>ROUND((175/100)*ROUND(([1]Source!AE3221*[1]Source!AV3221)*[1]Source!I3221, 2), 2)</f>
        <v>0</v>
      </c>
      <c r="AG3073">
        <f>ROUND((108/100)*ROUND([1]Source!CS3221*[1]Source!I3221, 2), 2)</f>
        <v>0</v>
      </c>
    </row>
    <row r="3074" spans="1:33" x14ac:dyDescent="0.2">
      <c r="C3074" s="40" t="str">
        <f>"Объем: "&amp;[1]Source!I3221&amp;"=274,5/"&amp;"100"</f>
        <v>Объем: 2,745=274,5/100</v>
      </c>
      <c r="M3074"/>
      <c r="N3074"/>
      <c r="O3074"/>
      <c r="P3074"/>
      <c r="Q3074"/>
    </row>
    <row r="3075" spans="1:33" ht="14.25" x14ac:dyDescent="0.2">
      <c r="A3075" s="31"/>
      <c r="B3075" s="31"/>
      <c r="C3075" s="31" t="s">
        <v>34</v>
      </c>
      <c r="D3075" s="32"/>
      <c r="E3075" s="4"/>
      <c r="F3075" s="33">
        <f>[1]Source!AO3221</f>
        <v>32.229999999999997</v>
      </c>
      <c r="G3075" s="34" t="str">
        <f>[1]Source!DG3221</f>
        <v>)*1*58</v>
      </c>
      <c r="H3075" s="4">
        <f>[1]Source!AV3221</f>
        <v>1</v>
      </c>
      <c r="I3075" s="4">
        <f>IF([1]Source!BA3221&lt;&gt; 0, [1]Source!BA3221, 1)</f>
        <v>1</v>
      </c>
      <c r="J3075" s="33">
        <f>[1]Source!S3221</f>
        <v>5131.34</v>
      </c>
      <c r="K3075" s="33"/>
      <c r="M3075"/>
      <c r="N3075"/>
      <c r="O3075"/>
      <c r="P3075"/>
      <c r="Q3075"/>
    </row>
    <row r="3076" spans="1:33" ht="14.25" x14ac:dyDescent="0.2">
      <c r="A3076" s="31"/>
      <c r="B3076" s="31"/>
      <c r="C3076" s="31" t="s">
        <v>47</v>
      </c>
      <c r="D3076" s="32"/>
      <c r="E3076" s="4"/>
      <c r="F3076" s="33">
        <f>[1]Source!AL3221</f>
        <v>4.24</v>
      </c>
      <c r="G3076" s="34" t="str">
        <f>[1]Source!DD3221</f>
        <v>)*1*58</v>
      </c>
      <c r="H3076" s="4">
        <f>[1]Source!AW3221</f>
        <v>1</v>
      </c>
      <c r="I3076" s="4">
        <f>IF([1]Source!BC3221&lt;&gt; 0, [1]Source!BC3221, 1)</f>
        <v>1</v>
      </c>
      <c r="J3076" s="33">
        <f>[1]Source!P3221</f>
        <v>675.05</v>
      </c>
      <c r="K3076" s="33"/>
      <c r="M3076"/>
      <c r="N3076"/>
      <c r="O3076"/>
      <c r="P3076"/>
      <c r="Q3076"/>
    </row>
    <row r="3077" spans="1:33" ht="14.25" x14ac:dyDescent="0.2">
      <c r="A3077" s="31" t="s">
        <v>139</v>
      </c>
      <c r="B3077" s="31" t="str">
        <f>[1]Source!F3222</f>
        <v>21.1-25-13</v>
      </c>
      <c r="C3077" s="31" t="str">
        <f>[1]Source!G3222</f>
        <v>Вода</v>
      </c>
      <c r="D3077" s="32" t="str">
        <f>[1]Source!H3222</f>
        <v>м3</v>
      </c>
      <c r="E3077" s="4">
        <f>[1]Source!I3222</f>
        <v>-15.920999999999999</v>
      </c>
      <c r="F3077" s="33">
        <f>[1]Source!AK3222</f>
        <v>42.44</v>
      </c>
      <c r="G3077" s="39" t="s">
        <v>121</v>
      </c>
      <c r="H3077" s="4">
        <f>[1]Source!AW3222</f>
        <v>1</v>
      </c>
      <c r="I3077" s="4">
        <f>IF([1]Source!BC3222&lt;&gt; 0, [1]Source!BC3222, 1)</f>
        <v>1</v>
      </c>
      <c r="J3077" s="33">
        <f>[1]Source!O3222</f>
        <v>-675.69</v>
      </c>
      <c r="K3077" s="33"/>
      <c r="M3077"/>
      <c r="N3077"/>
      <c r="O3077"/>
      <c r="P3077"/>
      <c r="Q3077"/>
      <c r="AB3077">
        <f>ROUND(([1]Source!BZ3222/100)*ROUND(([1]Source!AF3222*[1]Source!AV3222)*[1]Source!I3222, 2), 2)</f>
        <v>0</v>
      </c>
      <c r="AC3077">
        <f>[1]Source!X3222</f>
        <v>0</v>
      </c>
      <c r="AD3077">
        <f>ROUND(([1]Source!CA3222/100)*ROUND(([1]Source!AF3222*[1]Source!AV3222)*[1]Source!I3222, 2), 2)</f>
        <v>0</v>
      </c>
      <c r="AE3077">
        <f>[1]Source!Y3222</f>
        <v>0</v>
      </c>
      <c r="AF3077">
        <f>ROUND((175/100)*ROUND(([1]Source!AE3222*[1]Source!AV3222)*[1]Source!I3222, 2), 2)</f>
        <v>0</v>
      </c>
      <c r="AG3077">
        <f>ROUND((108/100)*ROUND([1]Source!CS3222*[1]Source!I3222, 2), 2)</f>
        <v>0</v>
      </c>
    </row>
    <row r="3078" spans="1:33" ht="14.25" x14ac:dyDescent="0.2">
      <c r="A3078" s="31"/>
      <c r="B3078" s="31"/>
      <c r="C3078" s="31" t="s">
        <v>40</v>
      </c>
      <c r="D3078" s="32" t="s">
        <v>39</v>
      </c>
      <c r="E3078" s="4">
        <f>[1]Source!AT3221</f>
        <v>70</v>
      </c>
      <c r="F3078" s="33"/>
      <c r="G3078" s="34"/>
      <c r="H3078" s="4"/>
      <c r="I3078" s="4"/>
      <c r="J3078" s="33">
        <f>SUM(AC3073:AC3077)</f>
        <v>3591.94</v>
      </c>
      <c r="K3078" s="33"/>
      <c r="M3078"/>
      <c r="N3078"/>
      <c r="O3078"/>
      <c r="P3078"/>
      <c r="Q3078"/>
    </row>
    <row r="3079" spans="1:33" ht="14.25" x14ac:dyDescent="0.2">
      <c r="A3079" s="31"/>
      <c r="B3079" s="31"/>
      <c r="C3079" s="31" t="s">
        <v>41</v>
      </c>
      <c r="D3079" s="32" t="s">
        <v>39</v>
      </c>
      <c r="E3079" s="4">
        <f>[1]Source!AU3221</f>
        <v>10</v>
      </c>
      <c r="F3079" s="33"/>
      <c r="G3079" s="34"/>
      <c r="H3079" s="4"/>
      <c r="I3079" s="4"/>
      <c r="J3079" s="33">
        <f>SUM(AE3073:AE3078)</f>
        <v>513.13</v>
      </c>
      <c r="K3079" s="33"/>
      <c r="M3079"/>
      <c r="N3079"/>
      <c r="O3079"/>
      <c r="P3079"/>
      <c r="Q3079"/>
    </row>
    <row r="3080" spans="1:33" ht="14.25" x14ac:dyDescent="0.2">
      <c r="A3080" s="31"/>
      <c r="B3080" s="31"/>
      <c r="C3080" s="31" t="s">
        <v>42</v>
      </c>
      <c r="D3080" s="32" t="s">
        <v>43</v>
      </c>
      <c r="E3080" s="4">
        <f>[1]Source!AQ3221</f>
        <v>0.13</v>
      </c>
      <c r="F3080" s="33"/>
      <c r="G3080" s="34" t="str">
        <f>[1]Source!DI3221</f>
        <v>)*1*58</v>
      </c>
      <c r="H3080" s="4">
        <f>[1]Source!AV3221</f>
        <v>1</v>
      </c>
      <c r="I3080" s="4"/>
      <c r="J3080" s="33"/>
      <c r="K3080" s="33">
        <f>[1]Source!U3221</f>
        <v>20.697300000000002</v>
      </c>
      <c r="M3080"/>
      <c r="N3080"/>
      <c r="O3080"/>
      <c r="P3080"/>
      <c r="Q3080"/>
    </row>
    <row r="3081" spans="1:33" ht="15" x14ac:dyDescent="0.25">
      <c r="A3081" s="35"/>
      <c r="B3081" s="35"/>
      <c r="C3081" s="35"/>
      <c r="D3081" s="35"/>
      <c r="E3081" s="35"/>
      <c r="F3081" s="35"/>
      <c r="G3081" s="35"/>
      <c r="H3081" s="35"/>
      <c r="I3081" s="36">
        <f>J3075+J3076+J3078+J3079+SUM(J3077:J3077)</f>
        <v>9235.7699999999986</v>
      </c>
      <c r="J3081" s="36"/>
      <c r="K3081" s="37">
        <f>IF([1]Source!I3221&lt;&gt;0, ROUND(I3081/[1]Source!I3221, 2), 0)</f>
        <v>3364.58</v>
      </c>
      <c r="M3081"/>
      <c r="N3081"/>
      <c r="O3081"/>
      <c r="P3081"/>
      <c r="Q3081"/>
      <c r="AA3081" s="38">
        <f>I3081</f>
        <v>9235.7699999999986</v>
      </c>
    </row>
    <row r="3082" spans="1:33" x14ac:dyDescent="0.2">
      <c r="M3082"/>
      <c r="N3082"/>
      <c r="O3082"/>
      <c r="P3082"/>
      <c r="Q3082"/>
    </row>
    <row r="3083" spans="1:33" ht="15" x14ac:dyDescent="0.25">
      <c r="A3083" s="42" t="str">
        <f>CONCATENATE("Итого по разделу: ",IF([1]Source!G3224&lt;&gt;"Новый раздел", [1]Source!G3224, ""))</f>
        <v>Итого по разделу: Уход за детскими площадками( S=274,5 м2)</v>
      </c>
      <c r="B3083" s="42"/>
      <c r="C3083" s="42"/>
      <c r="D3083" s="42"/>
      <c r="E3083" s="42"/>
      <c r="F3083" s="42"/>
      <c r="G3083" s="42"/>
      <c r="H3083" s="42"/>
      <c r="I3083" s="43">
        <f>SUM(AA3064:AA3082)</f>
        <v>175148.70999999996</v>
      </c>
      <c r="J3083" s="44"/>
      <c r="K3083" s="47"/>
      <c r="L3083" s="38">
        <f>I3083</f>
        <v>175148.70999999996</v>
      </c>
      <c r="M3083" s="2">
        <f>ROUND(I3083*$I$4874,2)</f>
        <v>126493.6</v>
      </c>
      <c r="N3083" s="2">
        <f>ROUND(M3083*1.2/105*100,2)</f>
        <v>144564.10999999999</v>
      </c>
      <c r="O3083" s="2">
        <f>ROUND(N3083*0.05,2)</f>
        <v>7228.21</v>
      </c>
      <c r="P3083" s="2">
        <f>N3083+O3083</f>
        <v>151792.31999999998</v>
      </c>
      <c r="Q3083" s="3">
        <v>89</v>
      </c>
      <c r="R3083">
        <v>2</v>
      </c>
      <c r="S3083" s="2">
        <v>0</v>
      </c>
    </row>
    <row r="3084" spans="1:33" x14ac:dyDescent="0.2">
      <c r="M3084"/>
      <c r="N3084"/>
      <c r="O3084"/>
      <c r="P3084"/>
      <c r="Q3084"/>
    </row>
    <row r="3085" spans="1:33" x14ac:dyDescent="0.2">
      <c r="M3085"/>
      <c r="N3085"/>
      <c r="O3085"/>
      <c r="P3085"/>
      <c r="Q3085"/>
    </row>
    <row r="3086" spans="1:33" ht="16.5" x14ac:dyDescent="0.25">
      <c r="A3086" s="29" t="str">
        <f>CONCATENATE("Раздел: ",IF([1]Source!G3254&lt;&gt;"Новый раздел", [1]Source!G3254, ""))</f>
        <v>Раздел: Игровые элементы "Детской площадки "( 6 шт.)</v>
      </c>
      <c r="B3086" s="29"/>
      <c r="C3086" s="29"/>
      <c r="D3086" s="29"/>
      <c r="E3086" s="29"/>
      <c r="F3086" s="29"/>
      <c r="G3086" s="29"/>
      <c r="H3086" s="29"/>
      <c r="I3086" s="29"/>
      <c r="J3086" s="29"/>
      <c r="K3086" s="29"/>
      <c r="M3086"/>
      <c r="N3086"/>
      <c r="O3086"/>
      <c r="P3086"/>
      <c r="Q3086"/>
    </row>
    <row r="3087" spans="1:33" ht="57" x14ac:dyDescent="0.2">
      <c r="A3087" s="31">
        <v>399</v>
      </c>
      <c r="B3087" s="31" t="str">
        <f>[1]Source!F3258</f>
        <v>калькуляция</v>
      </c>
      <c r="C3087" s="31" t="str">
        <f>[1]Source!G3258</f>
        <v>Протирка.. Игровой элемент "Паутина" -  канатная конструкция, выполненная из хлопкового каната и столбцов из древесины</v>
      </c>
      <c r="D3087" s="32" t="str">
        <f>[1]Source!H3258</f>
        <v>шт.</v>
      </c>
      <c r="E3087" s="4">
        <f>[1]Source!I3258</f>
        <v>1</v>
      </c>
      <c r="F3087" s="33"/>
      <c r="G3087" s="34"/>
      <c r="H3087" s="4"/>
      <c r="I3087" s="4"/>
      <c r="J3087" s="33"/>
      <c r="K3087" s="33"/>
      <c r="M3087"/>
      <c r="N3087"/>
      <c r="O3087"/>
      <c r="P3087"/>
      <c r="Q3087"/>
      <c r="AB3087">
        <f>ROUND(([1]Source!BZ3258/100)*ROUND(([1]Source!AF3258*[1]Source!AV3258)*[1]Source!I3258, 2), 2)</f>
        <v>0</v>
      </c>
      <c r="AC3087">
        <f>[1]Source!X3258</f>
        <v>0</v>
      </c>
      <c r="AD3087">
        <f>ROUND(([1]Source!CA3258/100)*ROUND(([1]Source!AF3258*[1]Source!AV3258)*[1]Source!I3258, 2), 2)</f>
        <v>0</v>
      </c>
      <c r="AE3087">
        <f>[1]Source!Y3258</f>
        <v>0</v>
      </c>
      <c r="AF3087">
        <f>ROUND((175/100)*ROUND(([1]Source!AE3258*[1]Source!AV3258)*[1]Source!I3258, 2), 2)</f>
        <v>0</v>
      </c>
      <c r="AG3087">
        <f>ROUND((108/100)*ROUND([1]Source!CS3258*[1]Source!I3258, 2), 2)</f>
        <v>0</v>
      </c>
    </row>
    <row r="3088" spans="1:33" ht="14.25" x14ac:dyDescent="0.2">
      <c r="A3088" s="31"/>
      <c r="B3088" s="31"/>
      <c r="C3088" s="31" t="s">
        <v>34</v>
      </c>
      <c r="D3088" s="32"/>
      <c r="E3088" s="4"/>
      <c r="F3088" s="33">
        <f>[1]Source!AO3258</f>
        <v>37.08</v>
      </c>
      <c r="G3088" s="34" t="str">
        <f>[1]Source!DG3258</f>
        <v>)*1*58</v>
      </c>
      <c r="H3088" s="4">
        <f>[1]Source!AV3258</f>
        <v>1</v>
      </c>
      <c r="I3088" s="4">
        <f>IF([1]Source!BA3258&lt;&gt; 0, [1]Source!BA3258, 1)</f>
        <v>1</v>
      </c>
      <c r="J3088" s="33">
        <f>[1]Source!S3258</f>
        <v>2150.64</v>
      </c>
      <c r="K3088" s="33"/>
      <c r="M3088"/>
      <c r="N3088"/>
      <c r="O3088"/>
      <c r="P3088"/>
      <c r="Q3088"/>
    </row>
    <row r="3089" spans="1:33" ht="28.5" x14ac:dyDescent="0.2">
      <c r="A3089" s="31" t="s">
        <v>140</v>
      </c>
      <c r="B3089" s="31" t="str">
        <f>[1]Source!F3259</f>
        <v>цена поставщика</v>
      </c>
      <c r="C3089" s="31" t="str">
        <f>[1]Source!G3259</f>
        <v>Очищающее средство для деревянных полов Wood Clean Pramol</v>
      </c>
      <c r="D3089" s="32" t="str">
        <f>[1]Source!H3259</f>
        <v>л</v>
      </c>
      <c r="E3089" s="4">
        <f>[1]Source!I3259</f>
        <v>1.7399999999999999E-2</v>
      </c>
      <c r="F3089" s="33">
        <f>[1]Source!AK3259</f>
        <v>433.33</v>
      </c>
      <c r="G3089" s="39" t="s">
        <v>121</v>
      </c>
      <c r="H3089" s="4">
        <f>[1]Source!AW3259</f>
        <v>1</v>
      </c>
      <c r="I3089" s="4">
        <f>IF([1]Source!BC3259&lt;&gt; 0, [1]Source!BC3259, 1)</f>
        <v>1</v>
      </c>
      <c r="J3089" s="33">
        <f>[1]Source!O3259</f>
        <v>7.54</v>
      </c>
      <c r="K3089" s="33"/>
      <c r="M3089"/>
      <c r="N3089"/>
      <c r="O3089"/>
      <c r="P3089"/>
      <c r="Q3089"/>
      <c r="AB3089">
        <f>ROUND(([1]Source!BZ3259/100)*ROUND(([1]Source!AF3259*[1]Source!AV3259)*[1]Source!I3259, 2), 2)</f>
        <v>0</v>
      </c>
      <c r="AC3089">
        <f>[1]Source!X3259</f>
        <v>0</v>
      </c>
      <c r="AD3089">
        <f>ROUND(([1]Source!CA3259/100)*ROUND(([1]Source!AF3259*[1]Source!AV3259)*[1]Source!I3259, 2), 2)</f>
        <v>0</v>
      </c>
      <c r="AE3089">
        <f>[1]Source!Y3259</f>
        <v>0</v>
      </c>
      <c r="AF3089">
        <f>ROUND((175/100)*ROUND(([1]Source!AE3259*[1]Source!AV3259)*[1]Source!I3259, 2), 2)</f>
        <v>0</v>
      </c>
      <c r="AG3089">
        <f>ROUND((108/100)*ROUND([1]Source!CS3259*[1]Source!I3259, 2), 2)</f>
        <v>0</v>
      </c>
    </row>
    <row r="3090" spans="1:33" ht="15" x14ac:dyDescent="0.25">
      <c r="A3090" s="35"/>
      <c r="B3090" s="35"/>
      <c r="C3090" s="35"/>
      <c r="D3090" s="35"/>
      <c r="E3090" s="35"/>
      <c r="F3090" s="35"/>
      <c r="G3090" s="35"/>
      <c r="H3090" s="35"/>
      <c r="I3090" s="36">
        <f>J3088+SUM(J3089:J3089)</f>
        <v>2158.1799999999998</v>
      </c>
      <c r="J3090" s="36"/>
      <c r="K3090" s="37">
        <f>IF([1]Source!I3258&lt;&gt;0, ROUND(I3090/[1]Source!I3258, 2), 0)</f>
        <v>2158.1799999999998</v>
      </c>
      <c r="M3090"/>
      <c r="N3090"/>
      <c r="O3090"/>
      <c r="P3090"/>
      <c r="Q3090"/>
      <c r="AA3090" s="38">
        <f>I3090</f>
        <v>2158.1799999999998</v>
      </c>
    </row>
    <row r="3091" spans="1:33" ht="57" x14ac:dyDescent="0.2">
      <c r="A3091" s="31">
        <v>400</v>
      </c>
      <c r="B3091" s="31" t="str">
        <f>[1]Source!F3260</f>
        <v>калькуляция</v>
      </c>
      <c r="C3091" s="31" t="str">
        <f>[1]Source!G3260</f>
        <v>Протирка. Игровой элемент "Зигзаг" – канатная конструкция, выполненная из хлопкового каната и столбцов из древесины</v>
      </c>
      <c r="D3091" s="32" t="str">
        <f>[1]Source!H3260</f>
        <v>шт.</v>
      </c>
      <c r="E3091" s="4">
        <f>[1]Source!I3260</f>
        <v>1</v>
      </c>
      <c r="F3091" s="33"/>
      <c r="G3091" s="34"/>
      <c r="H3091" s="4"/>
      <c r="I3091" s="4"/>
      <c r="J3091" s="33"/>
      <c r="K3091" s="33"/>
      <c r="M3091"/>
      <c r="N3091"/>
      <c r="O3091"/>
      <c r="P3091"/>
      <c r="Q3091"/>
      <c r="AB3091">
        <f>ROUND(([1]Source!BZ3260/100)*ROUND(([1]Source!AF3260*[1]Source!AV3260)*[1]Source!I3260, 2), 2)</f>
        <v>0</v>
      </c>
      <c r="AC3091">
        <f>[1]Source!X3260</f>
        <v>0</v>
      </c>
      <c r="AD3091">
        <f>ROUND(([1]Source!CA3260/100)*ROUND(([1]Source!AF3260*[1]Source!AV3260)*[1]Source!I3260, 2), 2)</f>
        <v>0</v>
      </c>
      <c r="AE3091">
        <f>[1]Source!Y3260</f>
        <v>0</v>
      </c>
      <c r="AF3091">
        <f>ROUND((175/100)*ROUND(([1]Source!AE3260*[1]Source!AV3260)*[1]Source!I3260, 2), 2)</f>
        <v>0</v>
      </c>
      <c r="AG3091">
        <f>ROUND((108/100)*ROUND([1]Source!CS3260*[1]Source!I3260, 2), 2)</f>
        <v>0</v>
      </c>
    </row>
    <row r="3092" spans="1:33" ht="14.25" x14ac:dyDescent="0.2">
      <c r="A3092" s="31"/>
      <c r="B3092" s="31"/>
      <c r="C3092" s="31" t="s">
        <v>34</v>
      </c>
      <c r="D3092" s="32"/>
      <c r="E3092" s="4"/>
      <c r="F3092" s="33">
        <f>[1]Source!AO3260</f>
        <v>37.08</v>
      </c>
      <c r="G3092" s="34" t="str">
        <f>[1]Source!DG3260</f>
        <v>)*1*58</v>
      </c>
      <c r="H3092" s="4">
        <f>[1]Source!AV3260</f>
        <v>1</v>
      </c>
      <c r="I3092" s="4">
        <f>IF([1]Source!BA3260&lt;&gt; 0, [1]Source!BA3260, 1)</f>
        <v>1</v>
      </c>
      <c r="J3092" s="33">
        <f>[1]Source!S3260</f>
        <v>2150.64</v>
      </c>
      <c r="K3092" s="33"/>
      <c r="M3092"/>
      <c r="N3092"/>
      <c r="O3092"/>
      <c r="P3092"/>
      <c r="Q3092"/>
    </row>
    <row r="3093" spans="1:33" ht="28.5" x14ac:dyDescent="0.2">
      <c r="A3093" s="31" t="s">
        <v>141</v>
      </c>
      <c r="B3093" s="31" t="str">
        <f>[1]Source!F3261</f>
        <v>цена поставщика</v>
      </c>
      <c r="C3093" s="31" t="str">
        <f>[1]Source!G3261</f>
        <v>Очищающее средство для деревянных полов Wood Clean Pramol</v>
      </c>
      <c r="D3093" s="32" t="str">
        <f>[1]Source!H3261</f>
        <v>л</v>
      </c>
      <c r="E3093" s="4">
        <f>[1]Source!I3261</f>
        <v>1.7399999999999999E-2</v>
      </c>
      <c r="F3093" s="33">
        <f>[1]Source!AK3261</f>
        <v>433.33</v>
      </c>
      <c r="G3093" s="39" t="s">
        <v>121</v>
      </c>
      <c r="H3093" s="4">
        <f>[1]Source!AW3261</f>
        <v>1</v>
      </c>
      <c r="I3093" s="4">
        <f>IF([1]Source!BC3261&lt;&gt; 0, [1]Source!BC3261, 1)</f>
        <v>1</v>
      </c>
      <c r="J3093" s="33">
        <f>[1]Source!O3261</f>
        <v>7.54</v>
      </c>
      <c r="K3093" s="33"/>
      <c r="M3093"/>
      <c r="N3093"/>
      <c r="O3093"/>
      <c r="P3093"/>
      <c r="Q3093"/>
      <c r="AB3093">
        <f>ROUND(([1]Source!BZ3261/100)*ROUND(([1]Source!AF3261*[1]Source!AV3261)*[1]Source!I3261, 2), 2)</f>
        <v>0</v>
      </c>
      <c r="AC3093">
        <f>[1]Source!X3261</f>
        <v>0</v>
      </c>
      <c r="AD3093">
        <f>ROUND(([1]Source!CA3261/100)*ROUND(([1]Source!AF3261*[1]Source!AV3261)*[1]Source!I3261, 2), 2)</f>
        <v>0</v>
      </c>
      <c r="AE3093">
        <f>[1]Source!Y3261</f>
        <v>0</v>
      </c>
      <c r="AF3093">
        <f>ROUND((175/100)*ROUND(([1]Source!AE3261*[1]Source!AV3261)*[1]Source!I3261, 2), 2)</f>
        <v>0</v>
      </c>
      <c r="AG3093">
        <f>ROUND((108/100)*ROUND([1]Source!CS3261*[1]Source!I3261, 2), 2)</f>
        <v>0</v>
      </c>
    </row>
    <row r="3094" spans="1:33" ht="15" x14ac:dyDescent="0.25">
      <c r="A3094" s="35"/>
      <c r="B3094" s="35"/>
      <c r="C3094" s="35"/>
      <c r="D3094" s="35"/>
      <c r="E3094" s="35"/>
      <c r="F3094" s="35"/>
      <c r="G3094" s="35"/>
      <c r="H3094" s="35"/>
      <c r="I3094" s="36">
        <f>J3092+SUM(J3093:J3093)</f>
        <v>2158.1799999999998</v>
      </c>
      <c r="J3094" s="36"/>
      <c r="K3094" s="37">
        <f>IF([1]Source!I3260&lt;&gt;0, ROUND(I3094/[1]Source!I3260, 2), 0)</f>
        <v>2158.1799999999998</v>
      </c>
      <c r="M3094"/>
      <c r="N3094"/>
      <c r="O3094"/>
      <c r="P3094"/>
      <c r="Q3094"/>
      <c r="AA3094" s="38">
        <f>I3094</f>
        <v>2158.1799999999998</v>
      </c>
    </row>
    <row r="3095" spans="1:33" ht="57" x14ac:dyDescent="0.2">
      <c r="A3095" s="31">
        <v>401</v>
      </c>
      <c r="B3095" s="31" t="str">
        <f>[1]Source!F3262</f>
        <v>калькуляция</v>
      </c>
      <c r="C3095" s="31" t="str">
        <f>[1]Source!G3262</f>
        <v>Протирка. Игровой элемент "Ходули-лабиринт" -  канатная конструкция, выполненная из хлопкового каната и столбцов из древесины.</v>
      </c>
      <c r="D3095" s="32" t="str">
        <f>[1]Source!H3262</f>
        <v>шт.</v>
      </c>
      <c r="E3095" s="4">
        <f>[1]Source!I3262</f>
        <v>1</v>
      </c>
      <c r="F3095" s="33"/>
      <c r="G3095" s="34"/>
      <c r="H3095" s="4"/>
      <c r="I3095" s="4"/>
      <c r="J3095" s="33"/>
      <c r="K3095" s="33"/>
      <c r="M3095"/>
      <c r="N3095"/>
      <c r="O3095"/>
      <c r="P3095"/>
      <c r="Q3095"/>
      <c r="AB3095">
        <f>ROUND(([1]Source!BZ3262/100)*ROUND(([1]Source!AF3262*[1]Source!AV3262)*[1]Source!I3262, 2), 2)</f>
        <v>0</v>
      </c>
      <c r="AC3095">
        <f>[1]Source!X3262</f>
        <v>0</v>
      </c>
      <c r="AD3095">
        <f>ROUND(([1]Source!CA3262/100)*ROUND(([1]Source!AF3262*[1]Source!AV3262)*[1]Source!I3262, 2), 2)</f>
        <v>0</v>
      </c>
      <c r="AE3095">
        <f>[1]Source!Y3262</f>
        <v>0</v>
      </c>
      <c r="AF3095">
        <f>ROUND((175/100)*ROUND(([1]Source!AE3262*[1]Source!AV3262)*[1]Source!I3262, 2), 2)</f>
        <v>0</v>
      </c>
      <c r="AG3095">
        <f>ROUND((108/100)*ROUND([1]Source!CS3262*[1]Source!I3262, 2), 2)</f>
        <v>0</v>
      </c>
    </row>
    <row r="3096" spans="1:33" ht="14.25" x14ac:dyDescent="0.2">
      <c r="A3096" s="31"/>
      <c r="B3096" s="31"/>
      <c r="C3096" s="31" t="s">
        <v>34</v>
      </c>
      <c r="D3096" s="32"/>
      <c r="E3096" s="4"/>
      <c r="F3096" s="33">
        <f>[1]Source!AO3262</f>
        <v>37.08</v>
      </c>
      <c r="G3096" s="34" t="str">
        <f>[1]Source!DG3262</f>
        <v>)*1*58</v>
      </c>
      <c r="H3096" s="4">
        <f>[1]Source!AV3262</f>
        <v>1</v>
      </c>
      <c r="I3096" s="4">
        <f>IF([1]Source!BA3262&lt;&gt; 0, [1]Source!BA3262, 1)</f>
        <v>1</v>
      </c>
      <c r="J3096" s="33">
        <f>[1]Source!S3262</f>
        <v>2150.64</v>
      </c>
      <c r="K3096" s="33"/>
      <c r="M3096"/>
      <c r="N3096"/>
      <c r="O3096"/>
      <c r="P3096"/>
      <c r="Q3096"/>
    </row>
    <row r="3097" spans="1:33" ht="28.5" x14ac:dyDescent="0.2">
      <c r="A3097" s="31" t="s">
        <v>142</v>
      </c>
      <c r="B3097" s="31" t="str">
        <f>[1]Source!F3263</f>
        <v>цена поставщика</v>
      </c>
      <c r="C3097" s="31" t="str">
        <f>[1]Source!G3263</f>
        <v>Очищающее средство для деревянных полов Wood Clean Pramol</v>
      </c>
      <c r="D3097" s="32" t="str">
        <f>[1]Source!H3263</f>
        <v>л</v>
      </c>
      <c r="E3097" s="4">
        <f>[1]Source!I3263</f>
        <v>1.7399999999999999E-2</v>
      </c>
      <c r="F3097" s="33">
        <f>[1]Source!AK3263</f>
        <v>433.33</v>
      </c>
      <c r="G3097" s="39" t="s">
        <v>121</v>
      </c>
      <c r="H3097" s="4">
        <f>[1]Source!AW3263</f>
        <v>1</v>
      </c>
      <c r="I3097" s="4">
        <f>IF([1]Source!BC3263&lt;&gt; 0, [1]Source!BC3263, 1)</f>
        <v>1</v>
      </c>
      <c r="J3097" s="33">
        <f>[1]Source!O3263</f>
        <v>7.54</v>
      </c>
      <c r="K3097" s="33"/>
      <c r="M3097"/>
      <c r="N3097"/>
      <c r="O3097"/>
      <c r="P3097"/>
      <c r="Q3097"/>
      <c r="AB3097">
        <f>ROUND(([1]Source!BZ3263/100)*ROUND(([1]Source!AF3263*[1]Source!AV3263)*[1]Source!I3263, 2), 2)</f>
        <v>0</v>
      </c>
      <c r="AC3097">
        <f>[1]Source!X3263</f>
        <v>0</v>
      </c>
      <c r="AD3097">
        <f>ROUND(([1]Source!CA3263/100)*ROUND(([1]Source!AF3263*[1]Source!AV3263)*[1]Source!I3263, 2), 2)</f>
        <v>0</v>
      </c>
      <c r="AE3097">
        <f>[1]Source!Y3263</f>
        <v>0</v>
      </c>
      <c r="AF3097">
        <f>ROUND((175/100)*ROUND(([1]Source!AE3263*[1]Source!AV3263)*[1]Source!I3263, 2), 2)</f>
        <v>0</v>
      </c>
      <c r="AG3097">
        <f>ROUND((108/100)*ROUND([1]Source!CS3263*[1]Source!I3263, 2), 2)</f>
        <v>0</v>
      </c>
    </row>
    <row r="3098" spans="1:33" ht="15" x14ac:dyDescent="0.25">
      <c r="A3098" s="35"/>
      <c r="B3098" s="35"/>
      <c r="C3098" s="35"/>
      <c r="D3098" s="35"/>
      <c r="E3098" s="35"/>
      <c r="F3098" s="35"/>
      <c r="G3098" s="35"/>
      <c r="H3098" s="35"/>
      <c r="I3098" s="36">
        <f>J3096+SUM(J3097:J3097)</f>
        <v>2158.1799999999998</v>
      </c>
      <c r="J3098" s="36"/>
      <c r="K3098" s="37">
        <f>IF([1]Source!I3262&lt;&gt;0, ROUND(I3098/[1]Source!I3262, 2), 0)</f>
        <v>2158.1799999999998</v>
      </c>
      <c r="M3098"/>
      <c r="N3098"/>
      <c r="O3098"/>
      <c r="P3098"/>
      <c r="Q3098"/>
      <c r="AA3098" s="38">
        <f>I3098</f>
        <v>2158.1799999999998</v>
      </c>
    </row>
    <row r="3099" spans="1:33" ht="57" x14ac:dyDescent="0.2">
      <c r="A3099" s="31">
        <v>402</v>
      </c>
      <c r="B3099" s="31" t="str">
        <f>[1]Source!F3264</f>
        <v>калькуляция</v>
      </c>
      <c r="C3099" s="31" t="str">
        <f>[1]Source!G3264</f>
        <v>Протирка. Игровой элемент "Балансир" - основание выполнено из металлических пружин, сверху укреплён круг из древесины.</v>
      </c>
      <c r="D3099" s="32" t="str">
        <f>[1]Source!H3264</f>
        <v>шт.</v>
      </c>
      <c r="E3099" s="4">
        <f>[1]Source!I3264</f>
        <v>1</v>
      </c>
      <c r="F3099" s="33"/>
      <c r="G3099" s="34"/>
      <c r="H3099" s="4"/>
      <c r="I3099" s="4"/>
      <c r="J3099" s="33"/>
      <c r="K3099" s="33"/>
      <c r="M3099"/>
      <c r="N3099"/>
      <c r="O3099"/>
      <c r="P3099"/>
      <c r="Q3099"/>
      <c r="AB3099">
        <f>ROUND(([1]Source!BZ3264/100)*ROUND(([1]Source!AF3264*[1]Source!AV3264)*[1]Source!I3264, 2), 2)</f>
        <v>0</v>
      </c>
      <c r="AC3099">
        <f>[1]Source!X3264</f>
        <v>0</v>
      </c>
      <c r="AD3099">
        <f>ROUND(([1]Source!CA3264/100)*ROUND(([1]Source!AF3264*[1]Source!AV3264)*[1]Source!I3264, 2), 2)</f>
        <v>0</v>
      </c>
      <c r="AE3099">
        <f>[1]Source!Y3264</f>
        <v>0</v>
      </c>
      <c r="AF3099">
        <f>ROUND((175/100)*ROUND(([1]Source!AE3264*[1]Source!AV3264)*[1]Source!I3264, 2), 2)</f>
        <v>0</v>
      </c>
      <c r="AG3099">
        <f>ROUND((108/100)*ROUND([1]Source!CS3264*[1]Source!I3264, 2), 2)</f>
        <v>0</v>
      </c>
    </row>
    <row r="3100" spans="1:33" ht="14.25" x14ac:dyDescent="0.2">
      <c r="A3100" s="31"/>
      <c r="B3100" s="31"/>
      <c r="C3100" s="31" t="s">
        <v>34</v>
      </c>
      <c r="D3100" s="32"/>
      <c r="E3100" s="4"/>
      <c r="F3100" s="33">
        <f>[1]Source!AO3264</f>
        <v>37.08</v>
      </c>
      <c r="G3100" s="34" t="str">
        <f>[1]Source!DG3264</f>
        <v>)*1*58</v>
      </c>
      <c r="H3100" s="4">
        <f>[1]Source!AV3264</f>
        <v>1</v>
      </c>
      <c r="I3100" s="4">
        <f>IF([1]Source!BA3264&lt;&gt; 0, [1]Source!BA3264, 1)</f>
        <v>1</v>
      </c>
      <c r="J3100" s="33">
        <f>[1]Source!S3264</f>
        <v>2150.64</v>
      </c>
      <c r="K3100" s="33"/>
      <c r="M3100"/>
      <c r="N3100"/>
      <c r="O3100"/>
      <c r="P3100"/>
      <c r="Q3100"/>
    </row>
    <row r="3101" spans="1:33" ht="28.5" x14ac:dyDescent="0.2">
      <c r="A3101" s="31" t="s">
        <v>143</v>
      </c>
      <c r="B3101" s="31" t="str">
        <f>[1]Source!F3265</f>
        <v>цена поставщика</v>
      </c>
      <c r="C3101" s="31" t="str">
        <f>[1]Source!G3265</f>
        <v>Очищающее средство для деревянных полов Wood Clean Pramol</v>
      </c>
      <c r="D3101" s="32" t="str">
        <f>[1]Source!H3265</f>
        <v>л</v>
      </c>
      <c r="E3101" s="4">
        <f>[1]Source!I3265</f>
        <v>1.7399999999999999E-2</v>
      </c>
      <c r="F3101" s="33">
        <f>[1]Source!AK3265</f>
        <v>433.33</v>
      </c>
      <c r="G3101" s="39" t="s">
        <v>121</v>
      </c>
      <c r="H3101" s="4">
        <f>[1]Source!AW3265</f>
        <v>1</v>
      </c>
      <c r="I3101" s="4">
        <f>IF([1]Source!BC3265&lt;&gt; 0, [1]Source!BC3265, 1)</f>
        <v>1</v>
      </c>
      <c r="J3101" s="33">
        <f>[1]Source!O3265</f>
        <v>7.54</v>
      </c>
      <c r="K3101" s="33"/>
      <c r="M3101"/>
      <c r="N3101"/>
      <c r="O3101"/>
      <c r="P3101"/>
      <c r="Q3101"/>
      <c r="AB3101">
        <f>ROUND(([1]Source!BZ3265/100)*ROUND(([1]Source!AF3265*[1]Source!AV3265)*[1]Source!I3265, 2), 2)</f>
        <v>0</v>
      </c>
      <c r="AC3101">
        <f>[1]Source!X3265</f>
        <v>0</v>
      </c>
      <c r="AD3101">
        <f>ROUND(([1]Source!CA3265/100)*ROUND(([1]Source!AF3265*[1]Source!AV3265)*[1]Source!I3265, 2), 2)</f>
        <v>0</v>
      </c>
      <c r="AE3101">
        <f>[1]Source!Y3265</f>
        <v>0</v>
      </c>
      <c r="AF3101">
        <f>ROUND((175/100)*ROUND(([1]Source!AE3265*[1]Source!AV3265)*[1]Source!I3265, 2), 2)</f>
        <v>0</v>
      </c>
      <c r="AG3101">
        <f>ROUND((108/100)*ROUND([1]Source!CS3265*[1]Source!I3265, 2), 2)</f>
        <v>0</v>
      </c>
    </row>
    <row r="3102" spans="1:33" ht="15" x14ac:dyDescent="0.25">
      <c r="A3102" s="35"/>
      <c r="B3102" s="35"/>
      <c r="C3102" s="35"/>
      <c r="D3102" s="35"/>
      <c r="E3102" s="35"/>
      <c r="F3102" s="35"/>
      <c r="G3102" s="35"/>
      <c r="H3102" s="35"/>
      <c r="I3102" s="36">
        <f>J3100+SUM(J3101:J3101)</f>
        <v>2158.1799999999998</v>
      </c>
      <c r="J3102" s="36"/>
      <c r="K3102" s="37">
        <f>IF([1]Source!I3264&lt;&gt;0, ROUND(I3102/[1]Source!I3264, 2), 0)</f>
        <v>2158.1799999999998</v>
      </c>
      <c r="M3102"/>
      <c r="N3102"/>
      <c r="O3102"/>
      <c r="P3102"/>
      <c r="Q3102"/>
      <c r="AA3102" s="38">
        <f>I3102</f>
        <v>2158.1799999999998</v>
      </c>
    </row>
    <row r="3103" spans="1:33" ht="57" x14ac:dyDescent="0.2">
      <c r="A3103" s="31">
        <v>403</v>
      </c>
      <c r="B3103" s="31" t="str">
        <f>[1]Source!F3266</f>
        <v>калькуляция</v>
      </c>
      <c r="C3103" s="31" t="str">
        <f>[1]Source!G3266</f>
        <v>Протирка. Игровой элемент " Качели-гамак" - канатная конструкция, выполненная из хлопкового каната и столбцов из древесины</v>
      </c>
      <c r="D3103" s="32" t="str">
        <f>[1]Source!H3266</f>
        <v>шт.</v>
      </c>
      <c r="E3103" s="4">
        <f>[1]Source!I3266</f>
        <v>1</v>
      </c>
      <c r="F3103" s="33"/>
      <c r="G3103" s="34"/>
      <c r="H3103" s="4"/>
      <c r="I3103" s="4"/>
      <c r="J3103" s="33"/>
      <c r="K3103" s="33"/>
      <c r="M3103"/>
      <c r="N3103"/>
      <c r="O3103"/>
      <c r="P3103"/>
      <c r="Q3103"/>
      <c r="AB3103">
        <f>ROUND(([1]Source!BZ3266/100)*ROUND(([1]Source!AF3266*[1]Source!AV3266)*[1]Source!I3266, 2), 2)</f>
        <v>0</v>
      </c>
      <c r="AC3103">
        <f>[1]Source!X3266</f>
        <v>0</v>
      </c>
      <c r="AD3103">
        <f>ROUND(([1]Source!CA3266/100)*ROUND(([1]Source!AF3266*[1]Source!AV3266)*[1]Source!I3266, 2), 2)</f>
        <v>0</v>
      </c>
      <c r="AE3103">
        <f>[1]Source!Y3266</f>
        <v>0</v>
      </c>
      <c r="AF3103">
        <f>ROUND((175/100)*ROUND(([1]Source!AE3266*[1]Source!AV3266)*[1]Source!I3266, 2), 2)</f>
        <v>0</v>
      </c>
      <c r="AG3103">
        <f>ROUND((108/100)*ROUND([1]Source!CS3266*[1]Source!I3266, 2), 2)</f>
        <v>0</v>
      </c>
    </row>
    <row r="3104" spans="1:33" ht="14.25" x14ac:dyDescent="0.2">
      <c r="A3104" s="31"/>
      <c r="B3104" s="31"/>
      <c r="C3104" s="31" t="s">
        <v>34</v>
      </c>
      <c r="D3104" s="32"/>
      <c r="E3104" s="4"/>
      <c r="F3104" s="33">
        <f>[1]Source!AO3266</f>
        <v>37.08</v>
      </c>
      <c r="G3104" s="34" t="str">
        <f>[1]Source!DG3266</f>
        <v>)*1*58</v>
      </c>
      <c r="H3104" s="4">
        <f>[1]Source!AV3266</f>
        <v>1</v>
      </c>
      <c r="I3104" s="4">
        <f>IF([1]Source!BA3266&lt;&gt; 0, [1]Source!BA3266, 1)</f>
        <v>1</v>
      </c>
      <c r="J3104" s="33">
        <f>[1]Source!S3266</f>
        <v>2150.64</v>
      </c>
      <c r="K3104" s="33"/>
      <c r="M3104"/>
      <c r="N3104"/>
      <c r="O3104"/>
      <c r="P3104"/>
      <c r="Q3104"/>
    </row>
    <row r="3105" spans="1:33" ht="28.5" x14ac:dyDescent="0.2">
      <c r="A3105" s="31" t="s">
        <v>144</v>
      </c>
      <c r="B3105" s="31" t="str">
        <f>[1]Source!F3267</f>
        <v>цена поставщика</v>
      </c>
      <c r="C3105" s="31" t="str">
        <f>[1]Source!G3267</f>
        <v>Очищающее средство для деревянных полов Wood Clean Pramol</v>
      </c>
      <c r="D3105" s="32" t="str">
        <f>[1]Source!H3267</f>
        <v>л</v>
      </c>
      <c r="E3105" s="4">
        <f>[1]Source!I3267</f>
        <v>1.7399999999999999E-2</v>
      </c>
      <c r="F3105" s="33">
        <f>[1]Source!AK3267</f>
        <v>433.33</v>
      </c>
      <c r="G3105" s="39" t="s">
        <v>121</v>
      </c>
      <c r="H3105" s="4">
        <f>[1]Source!AW3267</f>
        <v>1</v>
      </c>
      <c r="I3105" s="4">
        <f>IF([1]Source!BC3267&lt;&gt; 0, [1]Source!BC3267, 1)</f>
        <v>1</v>
      </c>
      <c r="J3105" s="33">
        <f>[1]Source!O3267</f>
        <v>7.54</v>
      </c>
      <c r="K3105" s="33"/>
      <c r="M3105"/>
      <c r="N3105"/>
      <c r="O3105"/>
      <c r="P3105"/>
      <c r="Q3105"/>
      <c r="AB3105">
        <f>ROUND(([1]Source!BZ3267/100)*ROUND(([1]Source!AF3267*[1]Source!AV3267)*[1]Source!I3267, 2), 2)</f>
        <v>0</v>
      </c>
      <c r="AC3105">
        <f>[1]Source!X3267</f>
        <v>0</v>
      </c>
      <c r="AD3105">
        <f>ROUND(([1]Source!CA3267/100)*ROUND(([1]Source!AF3267*[1]Source!AV3267)*[1]Source!I3267, 2), 2)</f>
        <v>0</v>
      </c>
      <c r="AE3105">
        <f>[1]Source!Y3267</f>
        <v>0</v>
      </c>
      <c r="AF3105">
        <f>ROUND((175/100)*ROUND(([1]Source!AE3267*[1]Source!AV3267)*[1]Source!I3267, 2), 2)</f>
        <v>0</v>
      </c>
      <c r="AG3105">
        <f>ROUND((108/100)*ROUND([1]Source!CS3267*[1]Source!I3267, 2), 2)</f>
        <v>0</v>
      </c>
    </row>
    <row r="3106" spans="1:33" ht="15" x14ac:dyDescent="0.25">
      <c r="A3106" s="35"/>
      <c r="B3106" s="35"/>
      <c r="C3106" s="35"/>
      <c r="D3106" s="35"/>
      <c r="E3106" s="35"/>
      <c r="F3106" s="35"/>
      <c r="G3106" s="35"/>
      <c r="H3106" s="35"/>
      <c r="I3106" s="36">
        <f>J3104+SUM(J3105:J3105)</f>
        <v>2158.1799999999998</v>
      </c>
      <c r="J3106" s="36"/>
      <c r="K3106" s="37">
        <f>IF([1]Source!I3266&lt;&gt;0, ROUND(I3106/[1]Source!I3266, 2), 0)</f>
        <v>2158.1799999999998</v>
      </c>
      <c r="M3106"/>
      <c r="N3106"/>
      <c r="O3106"/>
      <c r="P3106"/>
      <c r="Q3106"/>
      <c r="AA3106" s="38">
        <f>I3106</f>
        <v>2158.1799999999998</v>
      </c>
    </row>
    <row r="3107" spans="1:33" ht="28.5" x14ac:dyDescent="0.2">
      <c r="A3107" s="31">
        <v>404</v>
      </c>
      <c r="B3107" s="31" t="str">
        <f>[1]Source!F3268</f>
        <v>калькуляция</v>
      </c>
      <c r="C3107" s="31" t="str">
        <f>[1]Source!G3268</f>
        <v>Протирка. Игровой элемент «Столбы» - конструкция из древесины</v>
      </c>
      <c r="D3107" s="32" t="str">
        <f>[1]Source!H3268</f>
        <v>шт.</v>
      </c>
      <c r="E3107" s="4">
        <f>[1]Source!I3268</f>
        <v>1</v>
      </c>
      <c r="F3107" s="33"/>
      <c r="G3107" s="34"/>
      <c r="H3107" s="4"/>
      <c r="I3107" s="4"/>
      <c r="J3107" s="33"/>
      <c r="K3107" s="33"/>
      <c r="M3107"/>
      <c r="N3107"/>
      <c r="O3107"/>
      <c r="P3107"/>
      <c r="Q3107"/>
      <c r="AB3107">
        <f>ROUND(([1]Source!BZ3268/100)*ROUND(([1]Source!AF3268*[1]Source!AV3268)*[1]Source!I3268, 2), 2)</f>
        <v>0</v>
      </c>
      <c r="AC3107">
        <f>[1]Source!X3268</f>
        <v>0</v>
      </c>
      <c r="AD3107">
        <f>ROUND(([1]Source!CA3268/100)*ROUND(([1]Source!AF3268*[1]Source!AV3268)*[1]Source!I3268, 2), 2)</f>
        <v>0</v>
      </c>
      <c r="AE3107">
        <f>[1]Source!Y3268</f>
        <v>0</v>
      </c>
      <c r="AF3107">
        <f>ROUND((175/100)*ROUND(([1]Source!AE3268*[1]Source!AV3268)*[1]Source!I3268, 2), 2)</f>
        <v>0</v>
      </c>
      <c r="AG3107">
        <f>ROUND((108/100)*ROUND([1]Source!CS3268*[1]Source!I3268, 2), 2)</f>
        <v>0</v>
      </c>
    </row>
    <row r="3108" spans="1:33" ht="14.25" x14ac:dyDescent="0.2">
      <c r="A3108" s="31"/>
      <c r="B3108" s="31"/>
      <c r="C3108" s="31" t="s">
        <v>34</v>
      </c>
      <c r="D3108" s="32"/>
      <c r="E3108" s="4"/>
      <c r="F3108" s="33">
        <f>[1]Source!AO3268</f>
        <v>37.08</v>
      </c>
      <c r="G3108" s="34" t="str">
        <f>[1]Source!DG3268</f>
        <v>)*1*58</v>
      </c>
      <c r="H3108" s="4">
        <f>[1]Source!AV3268</f>
        <v>1</v>
      </c>
      <c r="I3108" s="4">
        <f>IF([1]Source!BA3268&lt;&gt; 0, [1]Source!BA3268, 1)</f>
        <v>1</v>
      </c>
      <c r="J3108" s="33">
        <f>[1]Source!S3268</f>
        <v>2150.64</v>
      </c>
      <c r="K3108" s="33"/>
      <c r="M3108"/>
      <c r="N3108"/>
      <c r="O3108"/>
      <c r="P3108"/>
      <c r="Q3108"/>
    </row>
    <row r="3109" spans="1:33" ht="28.5" x14ac:dyDescent="0.2">
      <c r="A3109" s="31" t="s">
        <v>145</v>
      </c>
      <c r="B3109" s="31" t="str">
        <f>[1]Source!F3269</f>
        <v>цена поставщика</v>
      </c>
      <c r="C3109" s="31" t="str">
        <f>[1]Source!G3269</f>
        <v>Очищающее средство для деревянных полов Wood Clean Pramol</v>
      </c>
      <c r="D3109" s="32" t="str">
        <f>[1]Source!H3269</f>
        <v>л</v>
      </c>
      <c r="E3109" s="4">
        <f>[1]Source!I3269</f>
        <v>1.7399999999999999E-2</v>
      </c>
      <c r="F3109" s="33">
        <f>[1]Source!AK3269</f>
        <v>433.33</v>
      </c>
      <c r="G3109" s="39" t="s">
        <v>121</v>
      </c>
      <c r="H3109" s="4">
        <f>[1]Source!AW3269</f>
        <v>1</v>
      </c>
      <c r="I3109" s="4">
        <f>IF([1]Source!BC3269&lt;&gt; 0, [1]Source!BC3269, 1)</f>
        <v>1</v>
      </c>
      <c r="J3109" s="33">
        <f>[1]Source!O3269</f>
        <v>7.54</v>
      </c>
      <c r="K3109" s="33"/>
      <c r="M3109"/>
      <c r="N3109"/>
      <c r="O3109"/>
      <c r="P3109"/>
      <c r="Q3109"/>
      <c r="AB3109">
        <f>ROUND(([1]Source!BZ3269/100)*ROUND(([1]Source!AF3269*[1]Source!AV3269)*[1]Source!I3269, 2), 2)</f>
        <v>0</v>
      </c>
      <c r="AC3109">
        <f>[1]Source!X3269</f>
        <v>0</v>
      </c>
      <c r="AD3109">
        <f>ROUND(([1]Source!CA3269/100)*ROUND(([1]Source!AF3269*[1]Source!AV3269)*[1]Source!I3269, 2), 2)</f>
        <v>0</v>
      </c>
      <c r="AE3109">
        <f>[1]Source!Y3269</f>
        <v>0</v>
      </c>
      <c r="AF3109">
        <f>ROUND((175/100)*ROUND(([1]Source!AE3269*[1]Source!AV3269)*[1]Source!I3269, 2), 2)</f>
        <v>0</v>
      </c>
      <c r="AG3109">
        <f>ROUND((108/100)*ROUND([1]Source!CS3269*[1]Source!I3269, 2), 2)</f>
        <v>0</v>
      </c>
    </row>
    <row r="3110" spans="1:33" ht="15" x14ac:dyDescent="0.25">
      <c r="A3110" s="35"/>
      <c r="B3110" s="35"/>
      <c r="C3110" s="35"/>
      <c r="D3110" s="35"/>
      <c r="E3110" s="35"/>
      <c r="F3110" s="35"/>
      <c r="G3110" s="35"/>
      <c r="H3110" s="35"/>
      <c r="I3110" s="36">
        <f>J3108+SUM(J3109:J3109)</f>
        <v>2158.1799999999998</v>
      </c>
      <c r="J3110" s="36"/>
      <c r="K3110" s="37">
        <f>IF([1]Source!I3268&lt;&gt;0, ROUND(I3110/[1]Source!I3268, 2), 0)</f>
        <v>2158.1799999999998</v>
      </c>
      <c r="M3110"/>
      <c r="N3110"/>
      <c r="O3110"/>
      <c r="P3110"/>
      <c r="Q3110"/>
      <c r="AA3110" s="38">
        <f>I3110</f>
        <v>2158.1799999999998</v>
      </c>
    </row>
    <row r="3111" spans="1:33" x14ac:dyDescent="0.2">
      <c r="M3111"/>
      <c r="N3111"/>
      <c r="O3111"/>
      <c r="P3111"/>
      <c r="Q3111"/>
    </row>
    <row r="3112" spans="1:33" ht="15" x14ac:dyDescent="0.25">
      <c r="A3112" s="42" t="str">
        <f>CONCATENATE("Итого по разделу: ",IF([1]Source!G3271&lt;&gt;"Новый раздел", [1]Source!G3271, ""))</f>
        <v>Итого по разделу: Игровые элементы "Детской площадки "( 6 шт.)</v>
      </c>
      <c r="B3112" s="42"/>
      <c r="C3112" s="42"/>
      <c r="D3112" s="42"/>
      <c r="E3112" s="42"/>
      <c r="F3112" s="42"/>
      <c r="G3112" s="42"/>
      <c r="H3112" s="42"/>
      <c r="I3112" s="43">
        <f>SUM(AA3086:AA3111)</f>
        <v>12949.08</v>
      </c>
      <c r="J3112" s="44"/>
      <c r="K3112" s="47"/>
      <c r="L3112" s="38">
        <f>I3112</f>
        <v>12949.08</v>
      </c>
      <c r="M3112" s="2">
        <f>ROUND(I3112*$I$4874,2)</f>
        <v>9351.91</v>
      </c>
      <c r="N3112" s="2">
        <f>ROUND(M3112*1.2/105*100,2)</f>
        <v>10687.9</v>
      </c>
      <c r="O3112" s="2">
        <f>ROUND(N3112*0.05,2)</f>
        <v>534.4</v>
      </c>
      <c r="P3112" s="2">
        <f>N3112+O3112</f>
        <v>11222.3</v>
      </c>
      <c r="Q3112" s="3">
        <v>90</v>
      </c>
      <c r="R3112">
        <v>2</v>
      </c>
      <c r="S3112" s="2">
        <v>0</v>
      </c>
    </row>
    <row r="3113" spans="1:33" x14ac:dyDescent="0.2">
      <c r="M3113"/>
      <c r="N3113"/>
      <c r="O3113"/>
      <c r="P3113"/>
      <c r="Q3113"/>
    </row>
    <row r="3114" spans="1:33" x14ac:dyDescent="0.2">
      <c r="M3114"/>
      <c r="N3114"/>
      <c r="O3114"/>
      <c r="P3114"/>
      <c r="Q3114"/>
    </row>
    <row r="3115" spans="1:33" ht="16.5" x14ac:dyDescent="0.25">
      <c r="A3115" s="29" t="str">
        <f>CONCATENATE("Раздел: ",IF([1]Source!G3301&lt;&gt;"Новый раздел", [1]Source!G3301, ""))</f>
        <v>Раздел: Уход за садово-парковыми скамьями (S=1473,38 м2 )</v>
      </c>
      <c r="B3115" s="29"/>
      <c r="C3115" s="29"/>
      <c r="D3115" s="29"/>
      <c r="E3115" s="29"/>
      <c r="F3115" s="29"/>
      <c r="G3115" s="29"/>
      <c r="H3115" s="29"/>
      <c r="I3115" s="29"/>
      <c r="J3115" s="29"/>
      <c r="K3115" s="29"/>
      <c r="M3115"/>
      <c r="N3115"/>
      <c r="O3115"/>
      <c r="P3115"/>
      <c r="Q3115"/>
    </row>
    <row r="3116" spans="1:33" ht="28.5" x14ac:dyDescent="0.2">
      <c r="A3116" s="31">
        <v>405</v>
      </c>
      <c r="B3116" s="31" t="str">
        <f>[1]Source!F3305</f>
        <v>5.3-1101-10-1/1</v>
      </c>
      <c r="C3116" s="31" t="str">
        <f>[1]Source!G3305</f>
        <v>Протирка садовых диванов и скамеек ( 575,56м2)</v>
      </c>
      <c r="D3116" s="32" t="str">
        <f>[1]Source!H3305</f>
        <v>100 м2</v>
      </c>
      <c r="E3116" s="4">
        <f>[1]Source!I3305</f>
        <v>14.7338</v>
      </c>
      <c r="F3116" s="33"/>
      <c r="G3116" s="34"/>
      <c r="H3116" s="4"/>
      <c r="I3116" s="4"/>
      <c r="J3116" s="33"/>
      <c r="K3116" s="33"/>
      <c r="M3116"/>
      <c r="N3116"/>
      <c r="O3116"/>
      <c r="P3116"/>
      <c r="Q3116"/>
      <c r="AB3116">
        <f>ROUND(([1]Source!BZ3305/100)*ROUND(([1]Source!AF3305*[1]Source!AV3305)*[1]Source!I3305, 2), 2)</f>
        <v>1772043.14</v>
      </c>
      <c r="AC3116">
        <f>[1]Source!X3305</f>
        <v>1772043.14</v>
      </c>
      <c r="AD3116">
        <f>ROUND(([1]Source!CA3305/100)*ROUND(([1]Source!AF3305*[1]Source!AV3305)*[1]Source!I3305, 2), 2)</f>
        <v>253149.02</v>
      </c>
      <c r="AE3116">
        <f>[1]Source!Y3305</f>
        <v>253149.02</v>
      </c>
      <c r="AF3116">
        <f>ROUND((175/100)*ROUND(([1]Source!AE3305*[1]Source!AV3305)*[1]Source!I3305, 2), 2)</f>
        <v>0</v>
      </c>
      <c r="AG3116">
        <f>ROUND((108/100)*ROUND([1]Source!CS3305*[1]Source!I3305, 2), 2)</f>
        <v>0</v>
      </c>
    </row>
    <row r="3117" spans="1:33" x14ac:dyDescent="0.2">
      <c r="C3117" s="40" t="str">
        <f>"Объем: "&amp;[1]Source!I3305&amp;"=1473,38/"&amp;"100"</f>
        <v>Объем: 14,7338=1473,38/100</v>
      </c>
      <c r="M3117"/>
      <c r="N3117"/>
      <c r="O3117"/>
      <c r="P3117"/>
      <c r="Q3117"/>
    </row>
    <row r="3118" spans="1:33" ht="14.25" x14ac:dyDescent="0.2">
      <c r="A3118" s="31"/>
      <c r="B3118" s="31"/>
      <c r="C3118" s="31" t="s">
        <v>34</v>
      </c>
      <c r="D3118" s="32"/>
      <c r="E3118" s="4"/>
      <c r="F3118" s="33">
        <f>[1]Source!AO3305</f>
        <v>1301.6300000000001</v>
      </c>
      <c r="G3118" s="34" t="str">
        <f>[1]Source!DG3305</f>
        <v>)*1*132</v>
      </c>
      <c r="H3118" s="4">
        <f>[1]Source!AV3305</f>
        <v>1</v>
      </c>
      <c r="I3118" s="4">
        <f>IF([1]Source!BA3305&lt;&gt; 0, [1]Source!BA3305, 1)</f>
        <v>1</v>
      </c>
      <c r="J3118" s="33">
        <f>[1]Source!S3305</f>
        <v>2531490.2000000002</v>
      </c>
      <c r="K3118" s="33"/>
      <c r="M3118"/>
      <c r="N3118"/>
      <c r="O3118"/>
      <c r="P3118"/>
      <c r="Q3118"/>
    </row>
    <row r="3119" spans="1:33" ht="14.25" x14ac:dyDescent="0.2">
      <c r="A3119" s="31"/>
      <c r="B3119" s="31"/>
      <c r="C3119" s="31" t="s">
        <v>47</v>
      </c>
      <c r="D3119" s="32"/>
      <c r="E3119" s="4"/>
      <c r="F3119" s="33">
        <f>[1]Source!AL3305</f>
        <v>2.71</v>
      </c>
      <c r="G3119" s="34" t="str">
        <f>[1]Source!DD3305</f>
        <v>)*1*132</v>
      </c>
      <c r="H3119" s="4">
        <f>[1]Source!AW3305</f>
        <v>1</v>
      </c>
      <c r="I3119" s="4">
        <f>IF([1]Source!BC3305&lt;&gt; 0, [1]Source!BC3305, 1)</f>
        <v>1</v>
      </c>
      <c r="J3119" s="33">
        <f>[1]Source!P3305</f>
        <v>5270.57</v>
      </c>
      <c r="K3119" s="33"/>
      <c r="M3119"/>
      <c r="N3119"/>
      <c r="O3119"/>
      <c r="P3119"/>
      <c r="Q3119"/>
    </row>
    <row r="3120" spans="1:33" ht="14.25" x14ac:dyDescent="0.2">
      <c r="A3120" s="31" t="s">
        <v>146</v>
      </c>
      <c r="B3120" s="31" t="str">
        <f>[1]Source!F3306</f>
        <v>21.1-25-13</v>
      </c>
      <c r="C3120" s="31" t="str">
        <f>[1]Source!G3306</f>
        <v>Вода</v>
      </c>
      <c r="D3120" s="32" t="str">
        <f>[1]Source!H3306</f>
        <v>м3</v>
      </c>
      <c r="E3120" s="4">
        <f>[1]Source!I3306</f>
        <v>-19.448616000000001</v>
      </c>
      <c r="F3120" s="33">
        <f>[1]Source!AK3306</f>
        <v>42.44</v>
      </c>
      <c r="G3120" s="39" t="s">
        <v>132</v>
      </c>
      <c r="H3120" s="4">
        <f>[1]Source!AW3306</f>
        <v>1</v>
      </c>
      <c r="I3120" s="4">
        <f>IF([1]Source!BC3306&lt;&gt; 0, [1]Source!BC3306, 1)</f>
        <v>1</v>
      </c>
      <c r="J3120" s="33">
        <f>[1]Source!O3306</f>
        <v>-825.4</v>
      </c>
      <c r="K3120" s="33"/>
      <c r="M3120"/>
      <c r="N3120"/>
      <c r="O3120"/>
      <c r="P3120"/>
      <c r="Q3120"/>
      <c r="AB3120">
        <f>ROUND(([1]Source!BZ3306/100)*ROUND(([1]Source!AF3306*[1]Source!AV3306)*[1]Source!I3306, 2), 2)</f>
        <v>0</v>
      </c>
      <c r="AC3120">
        <f>[1]Source!X3306</f>
        <v>0</v>
      </c>
      <c r="AD3120">
        <f>ROUND(([1]Source!CA3306/100)*ROUND(([1]Source!AF3306*[1]Source!AV3306)*[1]Source!I3306, 2), 2)</f>
        <v>0</v>
      </c>
      <c r="AE3120">
        <f>[1]Source!Y3306</f>
        <v>0</v>
      </c>
      <c r="AF3120">
        <f>ROUND((175/100)*ROUND(([1]Source!AE3306*[1]Source!AV3306)*[1]Source!I3306, 2), 2)</f>
        <v>0</v>
      </c>
      <c r="AG3120">
        <f>ROUND((108/100)*ROUND([1]Source!CS3306*[1]Source!I3306, 2), 2)</f>
        <v>0</v>
      </c>
    </row>
    <row r="3121" spans="1:33" ht="14.25" x14ac:dyDescent="0.2">
      <c r="A3121" s="31"/>
      <c r="B3121" s="31"/>
      <c r="C3121" s="31" t="s">
        <v>40</v>
      </c>
      <c r="D3121" s="32" t="s">
        <v>39</v>
      </c>
      <c r="E3121" s="4">
        <f>[1]Source!AT3305</f>
        <v>70</v>
      </c>
      <c r="F3121" s="33"/>
      <c r="G3121" s="34"/>
      <c r="H3121" s="4"/>
      <c r="I3121" s="4"/>
      <c r="J3121" s="33">
        <f>SUM(AC3116:AC3120)</f>
        <v>1772043.14</v>
      </c>
      <c r="K3121" s="33"/>
      <c r="M3121"/>
      <c r="N3121"/>
      <c r="O3121"/>
      <c r="P3121"/>
      <c r="Q3121"/>
    </row>
    <row r="3122" spans="1:33" ht="14.25" x14ac:dyDescent="0.2">
      <c r="A3122" s="31"/>
      <c r="B3122" s="31"/>
      <c r="C3122" s="31" t="s">
        <v>41</v>
      </c>
      <c r="D3122" s="32" t="s">
        <v>39</v>
      </c>
      <c r="E3122" s="4">
        <f>[1]Source!AU3305</f>
        <v>10</v>
      </c>
      <c r="F3122" s="33"/>
      <c r="G3122" s="34"/>
      <c r="H3122" s="4"/>
      <c r="I3122" s="4"/>
      <c r="J3122" s="33">
        <f>SUM(AE3116:AE3121)</f>
        <v>253149.02</v>
      </c>
      <c r="K3122" s="33"/>
      <c r="M3122"/>
      <c r="N3122"/>
      <c r="O3122"/>
      <c r="P3122"/>
      <c r="Q3122"/>
    </row>
    <row r="3123" spans="1:33" ht="14.25" x14ac:dyDescent="0.2">
      <c r="A3123" s="31"/>
      <c r="B3123" s="31"/>
      <c r="C3123" s="31" t="s">
        <v>42</v>
      </c>
      <c r="D3123" s="32" t="s">
        <v>43</v>
      </c>
      <c r="E3123" s="4">
        <f>[1]Source!AQ3305</f>
        <v>5.25</v>
      </c>
      <c r="F3123" s="33"/>
      <c r="G3123" s="34" t="str">
        <f>[1]Source!DI3305</f>
        <v>)*1*132</v>
      </c>
      <c r="H3123" s="4">
        <f>[1]Source!AV3305</f>
        <v>1</v>
      </c>
      <c r="I3123" s="4"/>
      <c r="J3123" s="33"/>
      <c r="K3123" s="33">
        <f>[1]Source!U3305</f>
        <v>10210.5234</v>
      </c>
      <c r="M3123"/>
      <c r="N3123"/>
      <c r="O3123"/>
      <c r="P3123"/>
      <c r="Q3123"/>
    </row>
    <row r="3124" spans="1:33" ht="15" x14ac:dyDescent="0.25">
      <c r="A3124" s="35"/>
      <c r="B3124" s="35"/>
      <c r="C3124" s="35"/>
      <c r="D3124" s="35"/>
      <c r="E3124" s="35"/>
      <c r="F3124" s="35"/>
      <c r="G3124" s="35"/>
      <c r="H3124" s="35"/>
      <c r="I3124" s="36">
        <f>J3118+J3119+J3121+J3122+SUM(J3120:J3120)</f>
        <v>4561127.5299999993</v>
      </c>
      <c r="J3124" s="36"/>
      <c r="K3124" s="37">
        <f>IF([1]Source!I3305&lt;&gt;0, ROUND(I3124/[1]Source!I3305, 2), 0)</f>
        <v>309568.99</v>
      </c>
      <c r="M3124"/>
      <c r="N3124"/>
      <c r="O3124"/>
      <c r="P3124"/>
      <c r="Q3124"/>
      <c r="AA3124" s="38">
        <f>I3124</f>
        <v>4561127.5299999993</v>
      </c>
    </row>
    <row r="3125" spans="1:33" ht="14.25" x14ac:dyDescent="0.2">
      <c r="A3125" s="31">
        <v>406</v>
      </c>
      <c r="B3125" s="31" t="str">
        <f>[1]Source!F3307</f>
        <v>5.3-1101-9-1/1</v>
      </c>
      <c r="C3125" s="31" t="str">
        <f>[1]Source!G3307</f>
        <v>Мытье садовых диванов и скамеек</v>
      </c>
      <c r="D3125" s="32" t="str">
        <f>[1]Source!H3307</f>
        <v>100 м2</v>
      </c>
      <c r="E3125" s="4">
        <f>[1]Source!I3307</f>
        <v>14.7338</v>
      </c>
      <c r="F3125" s="33"/>
      <c r="G3125" s="34"/>
      <c r="H3125" s="4"/>
      <c r="I3125" s="4"/>
      <c r="J3125" s="33"/>
      <c r="K3125" s="33"/>
      <c r="M3125"/>
      <c r="N3125"/>
      <c r="O3125"/>
      <c r="P3125"/>
      <c r="Q3125"/>
      <c r="AB3125">
        <f>ROUND(([1]Source!BZ3307/100)*ROUND(([1]Source!AF3307*[1]Source!AV3307)*[1]Source!I3307, 2), 2)</f>
        <v>176744.78</v>
      </c>
      <c r="AC3125">
        <f>[1]Source!X3307</f>
        <v>176744.78</v>
      </c>
      <c r="AD3125">
        <f>ROUND(([1]Source!CA3307/100)*ROUND(([1]Source!AF3307*[1]Source!AV3307)*[1]Source!I3307, 2), 2)</f>
        <v>25249.25</v>
      </c>
      <c r="AE3125">
        <f>[1]Source!Y3307</f>
        <v>25249.25</v>
      </c>
      <c r="AF3125">
        <f>ROUND((175/100)*ROUND(([1]Source!AE3307*[1]Source!AV3307)*[1]Source!I3307, 2), 2)</f>
        <v>0</v>
      </c>
      <c r="AG3125">
        <f>ROUND((108/100)*ROUND([1]Source!CS3307*[1]Source!I3307, 2), 2)</f>
        <v>0</v>
      </c>
    </row>
    <row r="3126" spans="1:33" x14ac:dyDescent="0.2">
      <c r="C3126" s="40" t="str">
        <f>"Объем: "&amp;[1]Source!I3307&amp;"=1473,38/"&amp;"100"</f>
        <v>Объем: 14,7338=1473,38/100</v>
      </c>
      <c r="M3126"/>
      <c r="N3126"/>
      <c r="O3126"/>
      <c r="P3126"/>
      <c r="Q3126"/>
    </row>
    <row r="3127" spans="1:33" ht="14.25" x14ac:dyDescent="0.2">
      <c r="A3127" s="31"/>
      <c r="B3127" s="31"/>
      <c r="C3127" s="31" t="s">
        <v>34</v>
      </c>
      <c r="D3127" s="32"/>
      <c r="E3127" s="4"/>
      <c r="F3127" s="33">
        <f>[1]Source!AO3307</f>
        <v>1428.08</v>
      </c>
      <c r="G3127" s="34" t="str">
        <f>[1]Source!DG3307</f>
        <v>)*1*12</v>
      </c>
      <c r="H3127" s="4">
        <f>[1]Source!AV3307</f>
        <v>1</v>
      </c>
      <c r="I3127" s="4">
        <f>IF([1]Source!BA3307&lt;&gt; 0, [1]Source!BA3307, 1)</f>
        <v>1</v>
      </c>
      <c r="J3127" s="33">
        <f>[1]Source!S3307</f>
        <v>252492.54</v>
      </c>
      <c r="K3127" s="33"/>
      <c r="M3127"/>
      <c r="N3127"/>
      <c r="O3127"/>
      <c r="P3127"/>
      <c r="Q3127"/>
    </row>
    <row r="3128" spans="1:33" ht="14.25" x14ac:dyDescent="0.2">
      <c r="A3128" s="31"/>
      <c r="B3128" s="31"/>
      <c r="C3128" s="31" t="s">
        <v>47</v>
      </c>
      <c r="D3128" s="32"/>
      <c r="E3128" s="4"/>
      <c r="F3128" s="33">
        <f>[1]Source!AL3307</f>
        <v>5.42</v>
      </c>
      <c r="G3128" s="34" t="str">
        <f>[1]Source!DD3307</f>
        <v>)*1*12</v>
      </c>
      <c r="H3128" s="4">
        <f>[1]Source!AW3307</f>
        <v>1</v>
      </c>
      <c r="I3128" s="4">
        <f>IF([1]Source!BC3307&lt;&gt; 0, [1]Source!BC3307, 1)</f>
        <v>1</v>
      </c>
      <c r="J3128" s="33">
        <f>[1]Source!P3307</f>
        <v>958.29</v>
      </c>
      <c r="K3128" s="33"/>
      <c r="M3128"/>
      <c r="N3128"/>
      <c r="O3128"/>
      <c r="P3128"/>
      <c r="Q3128"/>
    </row>
    <row r="3129" spans="1:33" ht="14.25" x14ac:dyDescent="0.2">
      <c r="A3129" s="31" t="s">
        <v>147</v>
      </c>
      <c r="B3129" s="31" t="str">
        <f>[1]Source!F3308</f>
        <v>21.1-25-13</v>
      </c>
      <c r="C3129" s="31" t="str">
        <f>[1]Source!G3308</f>
        <v>Вода</v>
      </c>
      <c r="D3129" s="32" t="str">
        <f>[1]Source!H3308</f>
        <v>м3</v>
      </c>
      <c r="E3129" s="4">
        <f>[1]Source!I3308</f>
        <v>-3.5361120000000001</v>
      </c>
      <c r="F3129" s="33">
        <f>[1]Source!AK3308</f>
        <v>42.44</v>
      </c>
      <c r="G3129" s="39" t="s">
        <v>134</v>
      </c>
      <c r="H3129" s="4">
        <f>[1]Source!AW3308</f>
        <v>1</v>
      </c>
      <c r="I3129" s="4">
        <f>IF([1]Source!BC3308&lt;&gt; 0, [1]Source!BC3308, 1)</f>
        <v>1</v>
      </c>
      <c r="J3129" s="33">
        <f>[1]Source!O3308</f>
        <v>-150.07</v>
      </c>
      <c r="K3129" s="33"/>
      <c r="M3129"/>
      <c r="N3129"/>
      <c r="O3129"/>
      <c r="P3129"/>
      <c r="Q3129"/>
      <c r="AB3129">
        <f>ROUND(([1]Source!BZ3308/100)*ROUND(([1]Source!AF3308*[1]Source!AV3308)*[1]Source!I3308, 2), 2)</f>
        <v>0</v>
      </c>
      <c r="AC3129">
        <f>[1]Source!X3308</f>
        <v>0</v>
      </c>
      <c r="AD3129">
        <f>ROUND(([1]Source!CA3308/100)*ROUND(([1]Source!AF3308*[1]Source!AV3308)*[1]Source!I3308, 2), 2)</f>
        <v>0</v>
      </c>
      <c r="AE3129">
        <f>[1]Source!Y3308</f>
        <v>0</v>
      </c>
      <c r="AF3129">
        <f>ROUND((175/100)*ROUND(([1]Source!AE3308*[1]Source!AV3308)*[1]Source!I3308, 2), 2)</f>
        <v>0</v>
      </c>
      <c r="AG3129">
        <f>ROUND((108/100)*ROUND([1]Source!CS3308*[1]Source!I3308, 2), 2)</f>
        <v>0</v>
      </c>
    </row>
    <row r="3130" spans="1:33" ht="14.25" x14ac:dyDescent="0.2">
      <c r="A3130" s="31"/>
      <c r="B3130" s="31"/>
      <c r="C3130" s="31" t="s">
        <v>40</v>
      </c>
      <c r="D3130" s="32" t="s">
        <v>39</v>
      </c>
      <c r="E3130" s="4">
        <f>[1]Source!AT3307</f>
        <v>70</v>
      </c>
      <c r="F3130" s="33"/>
      <c r="G3130" s="34"/>
      <c r="H3130" s="4"/>
      <c r="I3130" s="4"/>
      <c r="J3130" s="33">
        <f>SUM(AC3125:AC3129)</f>
        <v>176744.78</v>
      </c>
      <c r="K3130" s="33"/>
      <c r="M3130"/>
      <c r="N3130"/>
      <c r="O3130"/>
      <c r="P3130"/>
      <c r="Q3130"/>
    </row>
    <row r="3131" spans="1:33" ht="14.25" x14ac:dyDescent="0.2">
      <c r="A3131" s="31"/>
      <c r="B3131" s="31"/>
      <c r="C3131" s="31" t="s">
        <v>41</v>
      </c>
      <c r="D3131" s="32" t="s">
        <v>39</v>
      </c>
      <c r="E3131" s="4">
        <f>[1]Source!AU3307</f>
        <v>10</v>
      </c>
      <c r="F3131" s="33"/>
      <c r="G3131" s="34"/>
      <c r="H3131" s="4"/>
      <c r="I3131" s="4"/>
      <c r="J3131" s="33">
        <f>SUM(AE3125:AE3130)</f>
        <v>25249.25</v>
      </c>
      <c r="K3131" s="33"/>
      <c r="M3131"/>
      <c r="N3131"/>
      <c r="O3131"/>
      <c r="P3131"/>
      <c r="Q3131"/>
    </row>
    <row r="3132" spans="1:33" ht="14.25" x14ac:dyDescent="0.2">
      <c r="A3132" s="31"/>
      <c r="B3132" s="31"/>
      <c r="C3132" s="31" t="s">
        <v>42</v>
      </c>
      <c r="D3132" s="32" t="s">
        <v>43</v>
      </c>
      <c r="E3132" s="4">
        <f>[1]Source!AQ3307</f>
        <v>5.76</v>
      </c>
      <c r="F3132" s="33"/>
      <c r="G3132" s="34" t="str">
        <f>[1]Source!DI3307</f>
        <v>)*1*12</v>
      </c>
      <c r="H3132" s="4">
        <f>[1]Source!AV3307</f>
        <v>1</v>
      </c>
      <c r="I3132" s="4"/>
      <c r="J3132" s="33"/>
      <c r="K3132" s="33">
        <f>[1]Source!U3307</f>
        <v>1018.4002560000001</v>
      </c>
      <c r="M3132"/>
      <c r="N3132"/>
      <c r="O3132"/>
      <c r="P3132"/>
      <c r="Q3132"/>
    </row>
    <row r="3133" spans="1:33" ht="15" x14ac:dyDescent="0.25">
      <c r="A3133" s="35"/>
      <c r="B3133" s="35"/>
      <c r="C3133" s="35"/>
      <c r="D3133" s="35"/>
      <c r="E3133" s="35"/>
      <c r="F3133" s="35"/>
      <c r="G3133" s="35"/>
      <c r="H3133" s="35"/>
      <c r="I3133" s="36">
        <f>J3127+J3128+J3130+J3131+SUM(J3129:J3129)</f>
        <v>455294.79</v>
      </c>
      <c r="J3133" s="36"/>
      <c r="K3133" s="37">
        <f>IF([1]Source!I3307&lt;&gt;0, ROUND(I3133/[1]Source!I3307, 2), 0)</f>
        <v>30901.38</v>
      </c>
      <c r="M3133"/>
      <c r="N3133"/>
      <c r="O3133"/>
      <c r="P3133"/>
      <c r="Q3133"/>
      <c r="AA3133" s="38">
        <f>I3133</f>
        <v>455294.79</v>
      </c>
    </row>
    <row r="3134" spans="1:33" x14ac:dyDescent="0.2">
      <c r="M3134"/>
      <c r="N3134"/>
      <c r="O3134"/>
      <c r="P3134"/>
      <c r="Q3134"/>
    </row>
    <row r="3135" spans="1:33" ht="15" x14ac:dyDescent="0.25">
      <c r="A3135" s="42" t="str">
        <f>CONCATENATE("Итого по разделу: ",IF([1]Source!G3310&lt;&gt;"Новый раздел", [1]Source!G3310, ""))</f>
        <v>Итого по разделу: Уход за садово-парковыми скамьями (S=1473,38 м2 )</v>
      </c>
      <c r="B3135" s="42"/>
      <c r="C3135" s="42"/>
      <c r="D3135" s="42"/>
      <c r="E3135" s="42"/>
      <c r="F3135" s="42"/>
      <c r="G3135" s="42"/>
      <c r="H3135" s="42"/>
      <c r="I3135" s="43">
        <f>SUM(AA3115:AA3134)</f>
        <v>5016422.3199999994</v>
      </c>
      <c r="J3135" s="44"/>
      <c r="K3135" s="47"/>
      <c r="L3135" s="38">
        <f>I3135</f>
        <v>5016422.3199999994</v>
      </c>
      <c r="M3135" s="2">
        <f>ROUND(I3135*$I$4874,2)</f>
        <v>3622894.55</v>
      </c>
      <c r="N3135" s="2">
        <f>ROUND(M3135*1.2/105*100,2)</f>
        <v>4140450.91</v>
      </c>
      <c r="O3135" s="2">
        <f>ROUND(N3135*0.05,2)</f>
        <v>207022.55</v>
      </c>
      <c r="P3135" s="2">
        <f>N3135+O3135</f>
        <v>4347473.46</v>
      </c>
      <c r="Q3135" s="3">
        <v>91</v>
      </c>
      <c r="R3135">
        <v>2</v>
      </c>
      <c r="S3135" s="2">
        <v>0</v>
      </c>
    </row>
    <row r="3136" spans="1:33" x14ac:dyDescent="0.2">
      <c r="M3136"/>
      <c r="N3136"/>
      <c r="O3136"/>
      <c r="P3136"/>
      <c r="Q3136"/>
    </row>
    <row r="3137" spans="1:33" x14ac:dyDescent="0.2">
      <c r="M3137"/>
      <c r="N3137"/>
      <c r="O3137"/>
      <c r="P3137"/>
      <c r="Q3137"/>
    </row>
    <row r="3138" spans="1:33" ht="16.5" x14ac:dyDescent="0.25">
      <c r="A3138" s="29" t="str">
        <f>CONCATENATE("Раздел: ",IF([1]Source!G3340&lt;&gt;"Новый раздел", [1]Source!G3340, ""))</f>
        <v>Раздел: Содержание деревянного моста( S=276 м2)</v>
      </c>
      <c r="B3138" s="29"/>
      <c r="C3138" s="29"/>
      <c r="D3138" s="29"/>
      <c r="E3138" s="29"/>
      <c r="F3138" s="29"/>
      <c r="G3138" s="29"/>
      <c r="H3138" s="29"/>
      <c r="I3138" s="29"/>
      <c r="J3138" s="29"/>
      <c r="K3138" s="29"/>
      <c r="M3138"/>
      <c r="N3138"/>
      <c r="O3138"/>
      <c r="P3138"/>
      <c r="Q3138"/>
    </row>
    <row r="3139" spans="1:33" ht="42.75" x14ac:dyDescent="0.2">
      <c r="A3139" s="31">
        <v>407</v>
      </c>
      <c r="B3139" s="31" t="str">
        <f>[1]Source!F3344</f>
        <v>5.3-1101-13-1/1</v>
      </c>
      <c r="C3139" s="31" t="str">
        <f>[1]Source!G3344</f>
        <v>Подметание вручную дорожек и площадок с твердым покрытием( 276 м2)</v>
      </c>
      <c r="D3139" s="32" t="str">
        <f>[1]Source!H3344</f>
        <v>100 м2</v>
      </c>
      <c r="E3139" s="4">
        <f>[1]Source!I3344</f>
        <v>2.76</v>
      </c>
      <c r="F3139" s="33"/>
      <c r="G3139" s="34"/>
      <c r="H3139" s="4"/>
      <c r="I3139" s="4"/>
      <c r="J3139" s="33"/>
      <c r="K3139" s="33"/>
      <c r="M3139"/>
      <c r="N3139"/>
      <c r="O3139"/>
      <c r="P3139"/>
      <c r="Q3139"/>
      <c r="AB3139">
        <f>ROUND(([1]Source!BZ3344/100)*ROUND(([1]Source!AF3344*[1]Source!AV3344)*[1]Source!I3344, 2), 2)</f>
        <v>53379.54</v>
      </c>
      <c r="AC3139">
        <f>[1]Source!X3344</f>
        <v>53379.54</v>
      </c>
      <c r="AD3139">
        <f>ROUND(([1]Source!CA3344/100)*ROUND(([1]Source!AF3344*[1]Source!AV3344)*[1]Source!I3344, 2), 2)</f>
        <v>7625.65</v>
      </c>
      <c r="AE3139">
        <f>[1]Source!Y3344</f>
        <v>7625.65</v>
      </c>
      <c r="AF3139">
        <f>ROUND((175/100)*ROUND(([1]Source!AE3344*[1]Source!AV3344)*[1]Source!I3344, 2), 2)</f>
        <v>0</v>
      </c>
      <c r="AG3139">
        <f>ROUND((108/100)*ROUND([1]Source!CS3344*[1]Source!I3344, 2), 2)</f>
        <v>0</v>
      </c>
    </row>
    <row r="3140" spans="1:33" x14ac:dyDescent="0.2">
      <c r="C3140" s="40" t="str">
        <f>"Объем: "&amp;[1]Source!I3344&amp;"=276/"&amp;"100"</f>
        <v>Объем: 2,76=276/100</v>
      </c>
      <c r="M3140"/>
      <c r="N3140"/>
      <c r="O3140"/>
      <c r="P3140"/>
      <c r="Q3140"/>
    </row>
    <row r="3141" spans="1:33" ht="14.25" x14ac:dyDescent="0.2">
      <c r="A3141" s="31"/>
      <c r="B3141" s="31"/>
      <c r="C3141" s="31" t="s">
        <v>34</v>
      </c>
      <c r="D3141" s="32"/>
      <c r="E3141" s="4"/>
      <c r="F3141" s="33">
        <f>[1]Source!AO3344</f>
        <v>34.71</v>
      </c>
      <c r="G3141" s="34" t="str">
        <f>[1]Source!DG3344</f>
        <v>)*2*398</v>
      </c>
      <c r="H3141" s="4">
        <f>[1]Source!AV3344</f>
        <v>1</v>
      </c>
      <c r="I3141" s="4">
        <f>IF([1]Source!BA3344&lt;&gt; 0, [1]Source!BA3344, 1)</f>
        <v>1</v>
      </c>
      <c r="J3141" s="33">
        <f>[1]Source!S3344</f>
        <v>76256.479999999996</v>
      </c>
      <c r="K3141" s="33"/>
      <c r="M3141"/>
      <c r="N3141"/>
      <c r="O3141"/>
      <c r="P3141"/>
      <c r="Q3141"/>
    </row>
    <row r="3142" spans="1:33" ht="14.25" x14ac:dyDescent="0.2">
      <c r="A3142" s="31"/>
      <c r="B3142" s="31"/>
      <c r="C3142" s="31" t="s">
        <v>40</v>
      </c>
      <c r="D3142" s="32" t="s">
        <v>39</v>
      </c>
      <c r="E3142" s="4">
        <f>[1]Source!AT3344</f>
        <v>70</v>
      </c>
      <c r="F3142" s="33"/>
      <c r="G3142" s="34"/>
      <c r="H3142" s="4"/>
      <c r="I3142" s="4"/>
      <c r="J3142" s="33">
        <f>SUM(AC3139:AC3141)</f>
        <v>53379.54</v>
      </c>
      <c r="K3142" s="33"/>
      <c r="M3142"/>
      <c r="N3142"/>
      <c r="O3142"/>
      <c r="P3142"/>
      <c r="Q3142"/>
    </row>
    <row r="3143" spans="1:33" ht="14.25" x14ac:dyDescent="0.2">
      <c r="A3143" s="31"/>
      <c r="B3143" s="31"/>
      <c r="C3143" s="31" t="s">
        <v>41</v>
      </c>
      <c r="D3143" s="32" t="s">
        <v>39</v>
      </c>
      <c r="E3143" s="4">
        <f>[1]Source!AU3344</f>
        <v>10</v>
      </c>
      <c r="F3143" s="33"/>
      <c r="G3143" s="34"/>
      <c r="H3143" s="4"/>
      <c r="I3143" s="4"/>
      <c r="J3143" s="33">
        <f>SUM(AE3139:AE3142)</f>
        <v>7625.65</v>
      </c>
      <c r="K3143" s="33"/>
      <c r="M3143"/>
      <c r="N3143"/>
      <c r="O3143"/>
      <c r="P3143"/>
      <c r="Q3143"/>
    </row>
    <row r="3144" spans="1:33" ht="14.25" x14ac:dyDescent="0.2">
      <c r="A3144" s="31"/>
      <c r="B3144" s="31"/>
      <c r="C3144" s="31" t="s">
        <v>42</v>
      </c>
      <c r="D3144" s="32" t="s">
        <v>43</v>
      </c>
      <c r="E3144" s="4">
        <f>[1]Source!AQ3344</f>
        <v>0.14000000000000001</v>
      </c>
      <c r="F3144" s="33"/>
      <c r="G3144" s="34" t="str">
        <f>[1]Source!DI3344</f>
        <v>)*2*398</v>
      </c>
      <c r="H3144" s="4">
        <f>[1]Source!AV3344</f>
        <v>1</v>
      </c>
      <c r="I3144" s="4"/>
      <c r="J3144" s="33"/>
      <c r="K3144" s="33">
        <f>[1]Source!U3344</f>
        <v>307.57440000000003</v>
      </c>
      <c r="M3144"/>
      <c r="N3144"/>
      <c r="O3144"/>
      <c r="P3144"/>
      <c r="Q3144"/>
    </row>
    <row r="3145" spans="1:33" ht="15" x14ac:dyDescent="0.25">
      <c r="A3145" s="35"/>
      <c r="B3145" s="35"/>
      <c r="C3145" s="35"/>
      <c r="D3145" s="35"/>
      <c r="E3145" s="35"/>
      <c r="F3145" s="35"/>
      <c r="G3145" s="35"/>
      <c r="H3145" s="35"/>
      <c r="I3145" s="36">
        <f>J3141+J3142+J3143</f>
        <v>137261.66999999998</v>
      </c>
      <c r="J3145" s="36"/>
      <c r="K3145" s="37">
        <f>IF([1]Source!I3344&lt;&gt;0, ROUND(I3145/[1]Source!I3344, 2), 0)</f>
        <v>49732.49</v>
      </c>
      <c r="M3145"/>
      <c r="N3145"/>
      <c r="O3145"/>
      <c r="P3145"/>
      <c r="Q3145"/>
      <c r="AA3145" s="38">
        <f>I3145</f>
        <v>137261.66999999998</v>
      </c>
    </row>
    <row r="3146" spans="1:33" ht="28.5" x14ac:dyDescent="0.2">
      <c r="A3146" s="31">
        <v>408</v>
      </c>
      <c r="B3146" s="31" t="str">
        <f>[1]Source!F3345</f>
        <v>5.3-1101-14-1/1</v>
      </c>
      <c r="C3146" s="31" t="str">
        <f>[1]Source!G3345</f>
        <v>Полив дорожек из шланга вручную( мытье поверхности)</v>
      </c>
      <c r="D3146" s="32" t="str">
        <f>[1]Source!H3345</f>
        <v>100 м2</v>
      </c>
      <c r="E3146" s="4">
        <f>[1]Source!I3345</f>
        <v>2.76</v>
      </c>
      <c r="F3146" s="33"/>
      <c r="G3146" s="34"/>
      <c r="H3146" s="4"/>
      <c r="I3146" s="4"/>
      <c r="J3146" s="33"/>
      <c r="K3146" s="33"/>
      <c r="M3146"/>
      <c r="N3146"/>
      <c r="O3146"/>
      <c r="P3146"/>
      <c r="Q3146"/>
      <c r="AB3146">
        <f>ROUND(([1]Source!BZ3345/100)*ROUND(([1]Source!AF3345*[1]Source!AV3345)*[1]Source!I3345, 2), 2)</f>
        <v>3611.57</v>
      </c>
      <c r="AC3146">
        <f>[1]Source!X3345</f>
        <v>3611.57</v>
      </c>
      <c r="AD3146">
        <f>ROUND(([1]Source!CA3345/100)*ROUND(([1]Source!AF3345*[1]Source!AV3345)*[1]Source!I3345, 2), 2)</f>
        <v>515.94000000000005</v>
      </c>
      <c r="AE3146">
        <f>[1]Source!Y3345</f>
        <v>515.94000000000005</v>
      </c>
      <c r="AF3146">
        <f>ROUND((175/100)*ROUND(([1]Source!AE3345*[1]Source!AV3345)*[1]Source!I3345, 2), 2)</f>
        <v>0</v>
      </c>
      <c r="AG3146">
        <f>ROUND((108/100)*ROUND([1]Source!CS3345*[1]Source!I3345, 2), 2)</f>
        <v>0</v>
      </c>
    </row>
    <row r="3147" spans="1:33" x14ac:dyDescent="0.2">
      <c r="C3147" s="40" t="str">
        <f>"Объем: "&amp;[1]Source!I3345&amp;"=276/"&amp;"100"</f>
        <v>Объем: 2,76=276/100</v>
      </c>
      <c r="M3147"/>
      <c r="N3147"/>
      <c r="O3147"/>
      <c r="P3147"/>
      <c r="Q3147"/>
    </row>
    <row r="3148" spans="1:33" ht="14.25" x14ac:dyDescent="0.2">
      <c r="A3148" s="31"/>
      <c r="B3148" s="31"/>
      <c r="C3148" s="31" t="s">
        <v>34</v>
      </c>
      <c r="D3148" s="32"/>
      <c r="E3148" s="4"/>
      <c r="F3148" s="33">
        <f>[1]Source!AO3345</f>
        <v>32.229999999999997</v>
      </c>
      <c r="G3148" s="34" t="str">
        <f>[1]Source!DG3345</f>
        <v>)*1*58</v>
      </c>
      <c r="H3148" s="4">
        <f>[1]Source!AV3345</f>
        <v>1</v>
      </c>
      <c r="I3148" s="4">
        <f>IF([1]Source!BA3345&lt;&gt; 0, [1]Source!BA3345, 1)</f>
        <v>1</v>
      </c>
      <c r="J3148" s="33">
        <f>[1]Source!S3345</f>
        <v>5159.38</v>
      </c>
      <c r="K3148" s="33"/>
      <c r="M3148"/>
      <c r="N3148"/>
      <c r="O3148"/>
      <c r="P3148"/>
      <c r="Q3148"/>
    </row>
    <row r="3149" spans="1:33" ht="14.25" x14ac:dyDescent="0.2">
      <c r="A3149" s="31"/>
      <c r="B3149" s="31"/>
      <c r="C3149" s="31" t="s">
        <v>47</v>
      </c>
      <c r="D3149" s="32"/>
      <c r="E3149" s="4"/>
      <c r="F3149" s="33">
        <f>[1]Source!AL3345</f>
        <v>4.24</v>
      </c>
      <c r="G3149" s="34" t="str">
        <f>[1]Source!DD3345</f>
        <v>)*1*58</v>
      </c>
      <c r="H3149" s="4">
        <f>[1]Source!AW3345</f>
        <v>1</v>
      </c>
      <c r="I3149" s="4">
        <f>IF([1]Source!BC3345&lt;&gt; 0, [1]Source!BC3345, 1)</f>
        <v>1</v>
      </c>
      <c r="J3149" s="33">
        <f>[1]Source!P3345</f>
        <v>678.74</v>
      </c>
      <c r="K3149" s="33"/>
      <c r="M3149"/>
      <c r="N3149"/>
      <c r="O3149"/>
      <c r="P3149"/>
      <c r="Q3149"/>
    </row>
    <row r="3150" spans="1:33" ht="14.25" x14ac:dyDescent="0.2">
      <c r="A3150" s="31" t="s">
        <v>148</v>
      </c>
      <c r="B3150" s="31" t="str">
        <f>[1]Source!F3346</f>
        <v>21.1-25-13</v>
      </c>
      <c r="C3150" s="31" t="str">
        <f>[1]Source!G3346</f>
        <v>Вода</v>
      </c>
      <c r="D3150" s="32" t="str">
        <f>[1]Source!H3346</f>
        <v>м3</v>
      </c>
      <c r="E3150" s="4">
        <f>[1]Source!I3346</f>
        <v>-16.007999999999999</v>
      </c>
      <c r="F3150" s="33">
        <f>[1]Source!AK3346</f>
        <v>42.44</v>
      </c>
      <c r="G3150" s="39" t="s">
        <v>121</v>
      </c>
      <c r="H3150" s="4">
        <f>[1]Source!AW3346</f>
        <v>1</v>
      </c>
      <c r="I3150" s="4">
        <f>IF([1]Source!BC3346&lt;&gt; 0, [1]Source!BC3346, 1)</f>
        <v>1</v>
      </c>
      <c r="J3150" s="33">
        <f>[1]Source!O3346</f>
        <v>-679.38</v>
      </c>
      <c r="K3150" s="33"/>
      <c r="M3150"/>
      <c r="N3150"/>
      <c r="O3150"/>
      <c r="P3150"/>
      <c r="Q3150"/>
      <c r="AB3150">
        <f>ROUND(([1]Source!BZ3346/100)*ROUND(([1]Source!AF3346*[1]Source!AV3346)*[1]Source!I3346, 2), 2)</f>
        <v>0</v>
      </c>
      <c r="AC3150">
        <f>[1]Source!X3346</f>
        <v>0</v>
      </c>
      <c r="AD3150">
        <f>ROUND(([1]Source!CA3346/100)*ROUND(([1]Source!AF3346*[1]Source!AV3346)*[1]Source!I3346, 2), 2)</f>
        <v>0</v>
      </c>
      <c r="AE3150">
        <f>[1]Source!Y3346</f>
        <v>0</v>
      </c>
      <c r="AF3150">
        <f>ROUND((175/100)*ROUND(([1]Source!AE3346*[1]Source!AV3346)*[1]Source!I3346, 2), 2)</f>
        <v>0</v>
      </c>
      <c r="AG3150">
        <f>ROUND((108/100)*ROUND([1]Source!CS3346*[1]Source!I3346, 2), 2)</f>
        <v>0</v>
      </c>
    </row>
    <row r="3151" spans="1:33" ht="14.25" x14ac:dyDescent="0.2">
      <c r="A3151" s="31"/>
      <c r="B3151" s="31"/>
      <c r="C3151" s="31" t="s">
        <v>40</v>
      </c>
      <c r="D3151" s="32" t="s">
        <v>39</v>
      </c>
      <c r="E3151" s="4">
        <f>[1]Source!AT3345</f>
        <v>70</v>
      </c>
      <c r="F3151" s="33"/>
      <c r="G3151" s="34"/>
      <c r="H3151" s="4"/>
      <c r="I3151" s="4"/>
      <c r="J3151" s="33">
        <f>SUM(AC3146:AC3150)</f>
        <v>3611.57</v>
      </c>
      <c r="K3151" s="33"/>
      <c r="M3151"/>
      <c r="N3151"/>
      <c r="O3151"/>
      <c r="P3151"/>
      <c r="Q3151"/>
    </row>
    <row r="3152" spans="1:33" ht="14.25" x14ac:dyDescent="0.2">
      <c r="A3152" s="31"/>
      <c r="B3152" s="31"/>
      <c r="C3152" s="31" t="s">
        <v>41</v>
      </c>
      <c r="D3152" s="32" t="s">
        <v>39</v>
      </c>
      <c r="E3152" s="4">
        <f>[1]Source!AU3345</f>
        <v>10</v>
      </c>
      <c r="F3152" s="33"/>
      <c r="G3152" s="34"/>
      <c r="H3152" s="4"/>
      <c r="I3152" s="4"/>
      <c r="J3152" s="33">
        <f>SUM(AE3146:AE3151)</f>
        <v>515.94000000000005</v>
      </c>
      <c r="K3152" s="33"/>
      <c r="M3152"/>
      <c r="N3152"/>
      <c r="O3152"/>
      <c r="P3152"/>
      <c r="Q3152"/>
    </row>
    <row r="3153" spans="1:33" ht="14.25" x14ac:dyDescent="0.2">
      <c r="A3153" s="31"/>
      <c r="B3153" s="31"/>
      <c r="C3153" s="31" t="s">
        <v>42</v>
      </c>
      <c r="D3153" s="32" t="s">
        <v>43</v>
      </c>
      <c r="E3153" s="4">
        <f>[1]Source!AQ3345</f>
        <v>0.13</v>
      </c>
      <c r="F3153" s="33"/>
      <c r="G3153" s="34" t="str">
        <f>[1]Source!DI3345</f>
        <v>)*1*58</v>
      </c>
      <c r="H3153" s="4">
        <f>[1]Source!AV3345</f>
        <v>1</v>
      </c>
      <c r="I3153" s="4"/>
      <c r="J3153" s="33"/>
      <c r="K3153" s="33">
        <f>[1]Source!U3345</f>
        <v>20.810399999999998</v>
      </c>
      <c r="M3153"/>
      <c r="N3153"/>
      <c r="O3153"/>
      <c r="P3153"/>
      <c r="Q3153"/>
    </row>
    <row r="3154" spans="1:33" ht="15" x14ac:dyDescent="0.25">
      <c r="A3154" s="35"/>
      <c r="B3154" s="35"/>
      <c r="C3154" s="35"/>
      <c r="D3154" s="35"/>
      <c r="E3154" s="35"/>
      <c r="F3154" s="35"/>
      <c r="G3154" s="35"/>
      <c r="H3154" s="35"/>
      <c r="I3154" s="36">
        <f>J3148+J3149+J3151+J3152+SUM(J3150:J3150)</f>
        <v>9286.2500000000018</v>
      </c>
      <c r="J3154" s="36"/>
      <c r="K3154" s="37">
        <f>IF([1]Source!I3345&lt;&gt;0, ROUND(I3154/[1]Source!I3345, 2), 0)</f>
        <v>3364.58</v>
      </c>
      <c r="M3154"/>
      <c r="N3154"/>
      <c r="O3154"/>
      <c r="P3154"/>
      <c r="Q3154"/>
      <c r="AA3154" s="38">
        <f>I3154</f>
        <v>9286.2500000000018</v>
      </c>
    </row>
    <row r="3155" spans="1:33" x14ac:dyDescent="0.2">
      <c r="M3155"/>
      <c r="N3155"/>
      <c r="O3155"/>
      <c r="P3155"/>
      <c r="Q3155"/>
    </row>
    <row r="3156" spans="1:33" ht="15" x14ac:dyDescent="0.25">
      <c r="A3156" s="42" t="str">
        <f>CONCATENATE("Итого по разделу: ",IF([1]Source!G3348&lt;&gt;"Новый раздел", [1]Source!G3348, ""))</f>
        <v>Итого по разделу: Содержание деревянного моста( S=276 м2)</v>
      </c>
      <c r="B3156" s="42"/>
      <c r="C3156" s="42"/>
      <c r="D3156" s="42"/>
      <c r="E3156" s="42"/>
      <c r="F3156" s="42"/>
      <c r="G3156" s="42"/>
      <c r="H3156" s="42"/>
      <c r="I3156" s="43">
        <f>SUM(AA3138:AA3155)</f>
        <v>146547.91999999998</v>
      </c>
      <c r="J3156" s="44"/>
      <c r="K3156" s="47"/>
      <c r="L3156" s="38">
        <f>I3156</f>
        <v>146547.91999999998</v>
      </c>
      <c r="M3156" s="2">
        <f>ROUND(I3156*$I$4874,2)</f>
        <v>105837.91</v>
      </c>
      <c r="N3156" s="2">
        <f>ROUND(M3156*1.2/105*100,2)</f>
        <v>120957.61</v>
      </c>
      <c r="O3156" s="2">
        <f>ROUND(N3156*0.05,2)</f>
        <v>6047.88</v>
      </c>
      <c r="P3156" s="2">
        <f>N3156+O3156</f>
        <v>127005.49</v>
      </c>
      <c r="Q3156" s="3">
        <v>92</v>
      </c>
      <c r="R3156">
        <v>2</v>
      </c>
      <c r="S3156" s="2">
        <v>0</v>
      </c>
    </row>
    <row r="3157" spans="1:33" x14ac:dyDescent="0.2">
      <c r="M3157"/>
      <c r="N3157"/>
      <c r="O3157"/>
      <c r="P3157"/>
      <c r="Q3157"/>
    </row>
    <row r="3158" spans="1:33" x14ac:dyDescent="0.2">
      <c r="M3158"/>
      <c r="N3158"/>
      <c r="O3158"/>
      <c r="P3158"/>
      <c r="Q3158"/>
    </row>
    <row r="3159" spans="1:33" ht="16.5" x14ac:dyDescent="0.25">
      <c r="A3159" s="29" t="str">
        <f>CONCATENATE("Раздел: ",IF([1]Source!G3378&lt;&gt;"Новый раздел", [1]Source!G3378, ""))</f>
        <v>Раздел: Уход за урнами (80шт.)</v>
      </c>
      <c r="B3159" s="29"/>
      <c r="C3159" s="29"/>
      <c r="D3159" s="29"/>
      <c r="E3159" s="29"/>
      <c r="F3159" s="29"/>
      <c r="G3159" s="29"/>
      <c r="H3159" s="29"/>
      <c r="I3159" s="29"/>
      <c r="J3159" s="29"/>
      <c r="K3159" s="29"/>
      <c r="M3159"/>
      <c r="N3159"/>
      <c r="O3159"/>
      <c r="P3159"/>
      <c r="Q3159"/>
    </row>
    <row r="3160" spans="1:33" ht="57" x14ac:dyDescent="0.2">
      <c r="A3160" s="31">
        <v>409</v>
      </c>
      <c r="B3160" s="31" t="str">
        <f>[1]Source!F3382</f>
        <v>5.3-1101-12-2/1</v>
      </c>
      <c r="C3160" s="31" t="str">
        <f>[1]Source!G3382</f>
        <v>Уход за урнами на придомовых и внутрибольничных территориях, очистка урн с металлической емкостью (вкладышем) от мусора</v>
      </c>
      <c r="D3160" s="32" t="str">
        <f>[1]Source!H3382</f>
        <v>100 шт.</v>
      </c>
      <c r="E3160" s="4">
        <f>[1]Source!I3382</f>
        <v>0.8</v>
      </c>
      <c r="F3160" s="33"/>
      <c r="G3160" s="34"/>
      <c r="H3160" s="4"/>
      <c r="I3160" s="4"/>
      <c r="J3160" s="33"/>
      <c r="K3160" s="33"/>
      <c r="M3160"/>
      <c r="N3160"/>
      <c r="O3160"/>
      <c r="P3160"/>
      <c r="Q3160"/>
      <c r="AB3160">
        <f>ROUND(([1]Source!BZ3382/100)*ROUND(([1]Source!AF3382*[1]Source!AV3382)*[1]Source!I3382, 2), 2)</f>
        <v>722779.78</v>
      </c>
      <c r="AC3160">
        <f>[1]Source!X3382</f>
        <v>722779.78</v>
      </c>
      <c r="AD3160">
        <f>ROUND(([1]Source!CA3382/100)*ROUND(([1]Source!AF3382*[1]Source!AV3382)*[1]Source!I3382, 2), 2)</f>
        <v>103254.25</v>
      </c>
      <c r="AE3160">
        <f>[1]Source!Y3382</f>
        <v>103254.25</v>
      </c>
      <c r="AF3160">
        <f>ROUND((175/100)*ROUND(([1]Source!AE3382*[1]Source!AV3382)*[1]Source!I3382, 2), 2)</f>
        <v>0</v>
      </c>
      <c r="AG3160">
        <f>ROUND((108/100)*ROUND([1]Source!CS3382*[1]Source!I3382, 2), 2)</f>
        <v>0</v>
      </c>
    </row>
    <row r="3161" spans="1:33" x14ac:dyDescent="0.2">
      <c r="C3161" s="40" t="str">
        <f>"Объем: "&amp;[1]Source!I3382&amp;"=80/"&amp;"100"</f>
        <v>Объем: 0,8=80/100</v>
      </c>
      <c r="M3161"/>
      <c r="N3161"/>
      <c r="O3161"/>
      <c r="P3161"/>
      <c r="Q3161"/>
    </row>
    <row r="3162" spans="1:33" ht="14.25" x14ac:dyDescent="0.2">
      <c r="A3162" s="31"/>
      <c r="B3162" s="31"/>
      <c r="C3162" s="31" t="s">
        <v>34</v>
      </c>
      <c r="D3162" s="32"/>
      <c r="E3162" s="4"/>
      <c r="F3162" s="33">
        <f>[1]Source!AO3382</f>
        <v>1080.97</v>
      </c>
      <c r="G3162" s="34" t="str">
        <f>[1]Source!DG3382</f>
        <v>)*3*398</v>
      </c>
      <c r="H3162" s="4">
        <f>[1]Source!AV3382</f>
        <v>1</v>
      </c>
      <c r="I3162" s="4">
        <f>IF([1]Source!BA3382&lt;&gt; 0, [1]Source!BA3382, 1)</f>
        <v>1</v>
      </c>
      <c r="J3162" s="33">
        <f>[1]Source!S3382</f>
        <v>1032542.54</v>
      </c>
      <c r="K3162" s="33"/>
      <c r="M3162"/>
      <c r="N3162"/>
      <c r="O3162"/>
      <c r="P3162"/>
      <c r="Q3162"/>
    </row>
    <row r="3163" spans="1:33" ht="14.25" x14ac:dyDescent="0.2">
      <c r="A3163" s="31"/>
      <c r="B3163" s="31"/>
      <c r="C3163" s="31" t="s">
        <v>47</v>
      </c>
      <c r="D3163" s="32"/>
      <c r="E3163" s="4"/>
      <c r="F3163" s="33">
        <f>[1]Source!AL3382</f>
        <v>215</v>
      </c>
      <c r="G3163" s="34" t="str">
        <f>[1]Source!DD3382</f>
        <v>)*3*398</v>
      </c>
      <c r="H3163" s="4">
        <f>[1]Source!AW3382</f>
        <v>1</v>
      </c>
      <c r="I3163" s="4">
        <f>IF([1]Source!BC3382&lt;&gt; 0, [1]Source!BC3382, 1)</f>
        <v>1</v>
      </c>
      <c r="J3163" s="33">
        <f>[1]Source!P3382</f>
        <v>205368</v>
      </c>
      <c r="K3163" s="33"/>
      <c r="M3163"/>
      <c r="N3163"/>
      <c r="O3163"/>
      <c r="P3163"/>
      <c r="Q3163"/>
    </row>
    <row r="3164" spans="1:33" ht="28.5" x14ac:dyDescent="0.2">
      <c r="A3164" s="31" t="s">
        <v>149</v>
      </c>
      <c r="B3164" s="31" t="str">
        <f>[1]Source!F3383</f>
        <v>21.1-25-636</v>
      </c>
      <c r="C3164" s="31" t="str">
        <f>[1]Source!G3383</f>
        <v>Пакеты ПНД для мусора, объем пакета 60 л</v>
      </c>
      <c r="D3164" s="32" t="str">
        <f>[1]Source!H3383</f>
        <v>шт.</v>
      </c>
      <c r="E3164" s="4">
        <f>[1]Source!I3383</f>
        <v>-95520</v>
      </c>
      <c r="F3164" s="33">
        <f>[1]Source!AK3383</f>
        <v>2.15</v>
      </c>
      <c r="G3164" s="39" t="s">
        <v>100</v>
      </c>
      <c r="H3164" s="4">
        <f>[1]Source!AW3383</f>
        <v>1</v>
      </c>
      <c r="I3164" s="4">
        <f>IF([1]Source!BC3383&lt;&gt; 0, [1]Source!BC3383, 1)</f>
        <v>1</v>
      </c>
      <c r="J3164" s="33">
        <f>[1]Source!O3383</f>
        <v>-205368</v>
      </c>
      <c r="K3164" s="33"/>
      <c r="M3164"/>
      <c r="N3164"/>
      <c r="O3164"/>
      <c r="P3164"/>
      <c r="Q3164"/>
      <c r="AB3164">
        <f>ROUND(([1]Source!BZ3383/100)*ROUND(([1]Source!AF3383*[1]Source!AV3383)*[1]Source!I3383, 2), 2)</f>
        <v>0</v>
      </c>
      <c r="AC3164">
        <f>[1]Source!X3383</f>
        <v>0</v>
      </c>
      <c r="AD3164">
        <f>ROUND(([1]Source!CA3383/100)*ROUND(([1]Source!AF3383*[1]Source!AV3383)*[1]Source!I3383, 2), 2)</f>
        <v>0</v>
      </c>
      <c r="AE3164">
        <f>[1]Source!Y3383</f>
        <v>0</v>
      </c>
      <c r="AF3164">
        <f>ROUND((175/100)*ROUND(([1]Source!AE3383*[1]Source!AV3383)*[1]Source!I3383, 2), 2)</f>
        <v>0</v>
      </c>
      <c r="AG3164">
        <f>ROUND((108/100)*ROUND([1]Source!CS3383*[1]Source!I3383, 2), 2)</f>
        <v>0</v>
      </c>
    </row>
    <row r="3165" spans="1:33" ht="42.75" x14ac:dyDescent="0.2">
      <c r="A3165" s="31" t="s">
        <v>150</v>
      </c>
      <c r="B3165" s="31" t="str">
        <f>[1]Source!F3384</f>
        <v>цена поставщика</v>
      </c>
      <c r="C3165" s="31" t="str">
        <f>[1]Source!G3384</f>
        <v>пакеты ПНД для мусора, объем пакета 240л( длина-1400мм, ширина-900 мм, толщина- 40мкм)</v>
      </c>
      <c r="D3165" s="32" t="str">
        <f>[1]Source!H3384</f>
        <v>шт.</v>
      </c>
      <c r="E3165" s="4">
        <f>[1]Source!I3384</f>
        <v>95520</v>
      </c>
      <c r="F3165" s="33">
        <f>[1]Source!AK3384</f>
        <v>17.88</v>
      </c>
      <c r="G3165" s="39" t="s">
        <v>100</v>
      </c>
      <c r="H3165" s="4">
        <f>[1]Source!AW3384</f>
        <v>1</v>
      </c>
      <c r="I3165" s="4">
        <f>IF([1]Source!BC3384&lt;&gt; 0, [1]Source!BC3384, 1)</f>
        <v>1</v>
      </c>
      <c r="J3165" s="33">
        <f>[1]Source!O3384</f>
        <v>1707897.6</v>
      </c>
      <c r="K3165" s="33"/>
      <c r="M3165"/>
      <c r="N3165"/>
      <c r="O3165"/>
      <c r="P3165"/>
      <c r="Q3165"/>
      <c r="AB3165">
        <f>ROUND(([1]Source!BZ3384/100)*ROUND(([1]Source!AF3384*[1]Source!AV3384)*[1]Source!I3384, 2), 2)</f>
        <v>0</v>
      </c>
      <c r="AC3165">
        <f>[1]Source!X3384</f>
        <v>0</v>
      </c>
      <c r="AD3165">
        <f>ROUND(([1]Source!CA3384/100)*ROUND(([1]Source!AF3384*[1]Source!AV3384)*[1]Source!I3384, 2), 2)</f>
        <v>0</v>
      </c>
      <c r="AE3165">
        <f>[1]Source!Y3384</f>
        <v>0</v>
      </c>
      <c r="AF3165">
        <f>ROUND((175/100)*ROUND(([1]Source!AE3384*[1]Source!AV3384)*[1]Source!I3384, 2), 2)</f>
        <v>0</v>
      </c>
      <c r="AG3165">
        <f>ROUND((108/100)*ROUND([1]Source!CS3384*[1]Source!I3384, 2), 2)</f>
        <v>0</v>
      </c>
    </row>
    <row r="3166" spans="1:33" ht="14.25" x14ac:dyDescent="0.2">
      <c r="A3166" s="31"/>
      <c r="B3166" s="31"/>
      <c r="C3166" s="31" t="s">
        <v>40</v>
      </c>
      <c r="D3166" s="32" t="s">
        <v>39</v>
      </c>
      <c r="E3166" s="4">
        <f>[1]Source!AT3382</f>
        <v>70</v>
      </c>
      <c r="F3166" s="33"/>
      <c r="G3166" s="34"/>
      <c r="H3166" s="4"/>
      <c r="I3166" s="4"/>
      <c r="J3166" s="33">
        <f>SUM(AC3160:AC3165)</f>
        <v>722779.78</v>
      </c>
      <c r="K3166" s="33"/>
      <c r="M3166"/>
      <c r="N3166"/>
      <c r="O3166"/>
      <c r="P3166"/>
      <c r="Q3166"/>
    </row>
    <row r="3167" spans="1:33" ht="14.25" x14ac:dyDescent="0.2">
      <c r="A3167" s="31"/>
      <c r="B3167" s="31"/>
      <c r="C3167" s="31" t="s">
        <v>41</v>
      </c>
      <c r="D3167" s="32" t="s">
        <v>39</v>
      </c>
      <c r="E3167" s="4">
        <f>[1]Source!AU3382</f>
        <v>10</v>
      </c>
      <c r="F3167" s="33"/>
      <c r="G3167" s="34"/>
      <c r="H3167" s="4"/>
      <c r="I3167" s="4"/>
      <c r="J3167" s="33">
        <f>SUM(AE3160:AE3166)</f>
        <v>103254.25</v>
      </c>
      <c r="K3167" s="33"/>
      <c r="M3167"/>
      <c r="N3167"/>
      <c r="O3167"/>
      <c r="P3167"/>
      <c r="Q3167"/>
    </row>
    <row r="3168" spans="1:33" ht="14.25" x14ac:dyDescent="0.2">
      <c r="A3168" s="31"/>
      <c r="B3168" s="31"/>
      <c r="C3168" s="31" t="s">
        <v>42</v>
      </c>
      <c r="D3168" s="32" t="s">
        <v>43</v>
      </c>
      <c r="E3168" s="4">
        <f>[1]Source!AQ3382</f>
        <v>4.3600000000000003</v>
      </c>
      <c r="F3168" s="33"/>
      <c r="G3168" s="34" t="str">
        <f>[1]Source!DI3382</f>
        <v>)*3*398</v>
      </c>
      <c r="H3168" s="4">
        <f>[1]Source!AV3382</f>
        <v>1</v>
      </c>
      <c r="I3168" s="4"/>
      <c r="J3168" s="33"/>
      <c r="K3168" s="33">
        <f>[1]Source!U3382</f>
        <v>4164.6720000000014</v>
      </c>
      <c r="M3168"/>
      <c r="N3168"/>
      <c r="O3168"/>
      <c r="P3168"/>
      <c r="Q3168"/>
    </row>
    <row r="3169" spans="1:42" ht="15" x14ac:dyDescent="0.25">
      <c r="A3169" s="35"/>
      <c r="B3169" s="35"/>
      <c r="C3169" s="35"/>
      <c r="D3169" s="35"/>
      <c r="E3169" s="35"/>
      <c r="F3169" s="35"/>
      <c r="G3169" s="35"/>
      <c r="H3169" s="35"/>
      <c r="I3169" s="36">
        <f>J3162+J3163+J3166+J3167+SUM(J3164:J3165)</f>
        <v>3566474.17</v>
      </c>
      <c r="J3169" s="36"/>
      <c r="K3169" s="37">
        <f>IF([1]Source!I3382&lt;&gt;0, ROUND(I3169/[1]Source!I3382, 2), 0)</f>
        <v>4458092.71</v>
      </c>
      <c r="M3169"/>
      <c r="N3169"/>
      <c r="O3169"/>
      <c r="P3169"/>
      <c r="Q3169"/>
      <c r="AA3169" s="38">
        <f>I3169</f>
        <v>3566474.17</v>
      </c>
    </row>
    <row r="3170" spans="1:42" ht="71.25" x14ac:dyDescent="0.2">
      <c r="A3170" s="31">
        <v>410</v>
      </c>
      <c r="B3170" s="31" t="str">
        <f>[1]Source!F3385</f>
        <v>5.3-1101-12-4/1</v>
      </c>
      <c r="C3170" s="31" t="str">
        <f>[1]Source!G3385</f>
        <v>Уход за урнами на придомовых и внутрибольничных территориях, промывка урн весом до 20 кг с металлической емкостью (вкладышем)</v>
      </c>
      <c r="D3170" s="32" t="str">
        <f>[1]Source!H3385</f>
        <v>100 шт.</v>
      </c>
      <c r="E3170" s="4">
        <f>[1]Source!I3385</f>
        <v>0.8</v>
      </c>
      <c r="F3170" s="33"/>
      <c r="G3170" s="34"/>
      <c r="H3170" s="4"/>
      <c r="I3170" s="4"/>
      <c r="J3170" s="33"/>
      <c r="K3170" s="33"/>
      <c r="M3170"/>
      <c r="N3170"/>
      <c r="O3170"/>
      <c r="P3170"/>
      <c r="Q3170"/>
      <c r="AB3170">
        <f>ROUND(([1]Source!BZ3385/100)*ROUND(([1]Source!AF3385*[1]Source!AV3385)*[1]Source!I3385, 2), 2)</f>
        <v>130374.39999999999</v>
      </c>
      <c r="AC3170">
        <f>[1]Source!X3385</f>
        <v>130374.39999999999</v>
      </c>
      <c r="AD3170">
        <f>ROUND(([1]Source!CA3385/100)*ROUND(([1]Source!AF3385*[1]Source!AV3385)*[1]Source!I3385, 2), 2)</f>
        <v>18624.91</v>
      </c>
      <c r="AE3170">
        <f>[1]Source!Y3385</f>
        <v>18624.91</v>
      </c>
      <c r="AF3170">
        <f>ROUND((175/100)*ROUND(([1]Source!AE3385*[1]Source!AV3385)*[1]Source!I3385, 2), 2)</f>
        <v>0</v>
      </c>
      <c r="AG3170">
        <f>ROUND((108/100)*ROUND([1]Source!CS3385*[1]Source!I3385, 2), 2)</f>
        <v>0</v>
      </c>
    </row>
    <row r="3171" spans="1:42" x14ac:dyDescent="0.2">
      <c r="C3171" s="40" t="str">
        <f>"Объем: "&amp;[1]Source!I3385&amp;"=80/"&amp;"100"</f>
        <v>Объем: 0,8=80/100</v>
      </c>
      <c r="M3171"/>
      <c r="N3171"/>
      <c r="O3171"/>
      <c r="P3171"/>
      <c r="Q3171"/>
    </row>
    <row r="3172" spans="1:42" ht="14.25" x14ac:dyDescent="0.2">
      <c r="A3172" s="31"/>
      <c r="B3172" s="31"/>
      <c r="C3172" s="31" t="s">
        <v>34</v>
      </c>
      <c r="D3172" s="32"/>
      <c r="E3172" s="4"/>
      <c r="F3172" s="33">
        <f>[1]Source!AO3385</f>
        <v>4013.99</v>
      </c>
      <c r="G3172" s="34" t="str">
        <f>[1]Source!DG3385</f>
        <v>)*1*58</v>
      </c>
      <c r="H3172" s="4">
        <f>[1]Source!AV3385</f>
        <v>1</v>
      </c>
      <c r="I3172" s="4">
        <f>IF([1]Source!BA3385&lt;&gt; 0, [1]Source!BA3385, 1)</f>
        <v>1</v>
      </c>
      <c r="J3172" s="33">
        <f>[1]Source!S3385</f>
        <v>186249.14</v>
      </c>
      <c r="K3172" s="33"/>
      <c r="M3172"/>
      <c r="N3172"/>
      <c r="O3172"/>
      <c r="P3172"/>
      <c r="Q3172"/>
    </row>
    <row r="3173" spans="1:42" ht="14.25" x14ac:dyDescent="0.2">
      <c r="A3173" s="31"/>
      <c r="B3173" s="31"/>
      <c r="C3173" s="31" t="s">
        <v>47</v>
      </c>
      <c r="D3173" s="32"/>
      <c r="E3173" s="4"/>
      <c r="F3173" s="33">
        <f>[1]Source!AL3385</f>
        <v>6674.88</v>
      </c>
      <c r="G3173" s="34" t="str">
        <f>[1]Source!DD3385</f>
        <v>)*1*58</v>
      </c>
      <c r="H3173" s="4">
        <f>[1]Source!AW3385</f>
        <v>1</v>
      </c>
      <c r="I3173" s="4">
        <f>IF([1]Source!BC3385&lt;&gt; 0, [1]Source!BC3385, 1)</f>
        <v>1</v>
      </c>
      <c r="J3173" s="33">
        <f>[1]Source!P3385</f>
        <v>309714.43</v>
      </c>
      <c r="K3173" s="33"/>
      <c r="M3173"/>
      <c r="N3173"/>
      <c r="O3173"/>
      <c r="P3173"/>
      <c r="Q3173"/>
    </row>
    <row r="3174" spans="1:42" ht="28.5" x14ac:dyDescent="0.2">
      <c r="A3174" s="31" t="s">
        <v>151</v>
      </c>
      <c r="B3174" s="31" t="str">
        <f>[1]Source!F3386</f>
        <v>21.1-25-636</v>
      </c>
      <c r="C3174" s="31" t="str">
        <f>[1]Source!G3386</f>
        <v>Пакеты ПНД для мусора, объем пакета 60 л</v>
      </c>
      <c r="D3174" s="32" t="str">
        <f>[1]Source!H3386</f>
        <v>шт.</v>
      </c>
      <c r="E3174" s="4">
        <f>[1]Source!I3386</f>
        <v>-4640</v>
      </c>
      <c r="F3174" s="33">
        <f>[1]Source!AK3386</f>
        <v>2.15</v>
      </c>
      <c r="G3174" s="39" t="s">
        <v>121</v>
      </c>
      <c r="H3174" s="4">
        <f>[1]Source!AW3386</f>
        <v>1</v>
      </c>
      <c r="I3174" s="4">
        <f>IF([1]Source!BC3386&lt;&gt; 0, [1]Source!BC3386, 1)</f>
        <v>1</v>
      </c>
      <c r="J3174" s="33">
        <f>[1]Source!O3386</f>
        <v>-9976</v>
      </c>
      <c r="K3174" s="33"/>
      <c r="M3174"/>
      <c r="N3174"/>
      <c r="O3174"/>
      <c r="P3174"/>
      <c r="Q3174"/>
      <c r="AB3174">
        <f>ROUND(([1]Source!BZ3386/100)*ROUND(([1]Source!AF3386*[1]Source!AV3386)*[1]Source!I3386, 2), 2)</f>
        <v>0</v>
      </c>
      <c r="AC3174">
        <f>[1]Source!X3386</f>
        <v>0</v>
      </c>
      <c r="AD3174">
        <f>ROUND(([1]Source!CA3386/100)*ROUND(([1]Source!AF3386*[1]Source!AV3386)*[1]Source!I3386, 2), 2)</f>
        <v>0</v>
      </c>
      <c r="AE3174">
        <f>[1]Source!Y3386</f>
        <v>0</v>
      </c>
      <c r="AF3174">
        <f>ROUND((175/100)*ROUND(([1]Source!AE3386*[1]Source!AV3386)*[1]Source!I3386, 2), 2)</f>
        <v>0</v>
      </c>
      <c r="AG3174">
        <f>ROUND((108/100)*ROUND([1]Source!CS3386*[1]Source!I3386, 2), 2)</f>
        <v>0</v>
      </c>
    </row>
    <row r="3175" spans="1:42" ht="14.25" x14ac:dyDescent="0.2">
      <c r="A3175" s="31" t="s">
        <v>152</v>
      </c>
      <c r="B3175" s="31" t="str">
        <f>[1]Source!F3387</f>
        <v>21.1-25-13</v>
      </c>
      <c r="C3175" s="31" t="str">
        <f>[1]Source!G3387</f>
        <v>Вода</v>
      </c>
      <c r="D3175" s="32" t="str">
        <f>[1]Source!H3387</f>
        <v>м3</v>
      </c>
      <c r="E3175" s="4">
        <f>[1]Source!I3387</f>
        <v>-92.8</v>
      </c>
      <c r="F3175" s="33">
        <f>[1]Source!AK3387</f>
        <v>42.44</v>
      </c>
      <c r="G3175" s="39" t="s">
        <v>121</v>
      </c>
      <c r="H3175" s="4">
        <f>[1]Source!AW3387</f>
        <v>1</v>
      </c>
      <c r="I3175" s="4">
        <f>IF([1]Source!BC3387&lt;&gt; 0, [1]Source!BC3387, 1)</f>
        <v>1</v>
      </c>
      <c r="J3175" s="33">
        <f>[1]Source!O3387</f>
        <v>-3938.43</v>
      </c>
      <c r="K3175" s="33"/>
      <c r="M3175"/>
      <c r="N3175"/>
      <c r="O3175"/>
      <c r="P3175"/>
      <c r="Q3175"/>
      <c r="AB3175">
        <f>ROUND(([1]Source!BZ3387/100)*ROUND(([1]Source!AF3387*[1]Source!AV3387)*[1]Source!I3387, 2), 2)</f>
        <v>0</v>
      </c>
      <c r="AC3175">
        <f>[1]Source!X3387</f>
        <v>0</v>
      </c>
      <c r="AD3175">
        <f>ROUND(([1]Source!CA3387/100)*ROUND(([1]Source!AF3387*[1]Source!AV3387)*[1]Source!I3387, 2), 2)</f>
        <v>0</v>
      </c>
      <c r="AE3175">
        <f>[1]Source!Y3387</f>
        <v>0</v>
      </c>
      <c r="AF3175">
        <f>ROUND((175/100)*ROUND(([1]Source!AE3387*[1]Source!AV3387)*[1]Source!I3387, 2), 2)</f>
        <v>0</v>
      </c>
      <c r="AG3175">
        <f>ROUND((108/100)*ROUND([1]Source!CS3387*[1]Source!I3387, 2), 2)</f>
        <v>0</v>
      </c>
    </row>
    <row r="3176" spans="1:42" ht="14.25" x14ac:dyDescent="0.2">
      <c r="A3176" s="31"/>
      <c r="B3176" s="31"/>
      <c r="C3176" s="31" t="s">
        <v>40</v>
      </c>
      <c r="D3176" s="32" t="s">
        <v>39</v>
      </c>
      <c r="E3176" s="4">
        <f>[1]Source!AT3385</f>
        <v>70</v>
      </c>
      <c r="F3176" s="33"/>
      <c r="G3176" s="34"/>
      <c r="H3176" s="4"/>
      <c r="I3176" s="4"/>
      <c r="J3176" s="33">
        <f>SUM(AC3170:AC3175)</f>
        <v>130374.39999999999</v>
      </c>
      <c r="K3176" s="33"/>
      <c r="M3176"/>
      <c r="N3176"/>
      <c r="O3176"/>
      <c r="P3176"/>
      <c r="Q3176"/>
    </row>
    <row r="3177" spans="1:42" ht="14.25" x14ac:dyDescent="0.2">
      <c r="A3177" s="31"/>
      <c r="B3177" s="31"/>
      <c r="C3177" s="31" t="s">
        <v>41</v>
      </c>
      <c r="D3177" s="32" t="s">
        <v>39</v>
      </c>
      <c r="E3177" s="4">
        <f>[1]Source!AU3385</f>
        <v>10</v>
      </c>
      <c r="F3177" s="33"/>
      <c r="G3177" s="34"/>
      <c r="H3177" s="4"/>
      <c r="I3177" s="4"/>
      <c r="J3177" s="33">
        <f>SUM(AE3170:AE3176)</f>
        <v>18624.91</v>
      </c>
      <c r="K3177" s="33"/>
      <c r="M3177"/>
      <c r="N3177"/>
      <c r="O3177"/>
      <c r="P3177"/>
      <c r="Q3177"/>
    </row>
    <row r="3178" spans="1:42" ht="14.25" x14ac:dyDescent="0.2">
      <c r="A3178" s="31"/>
      <c r="B3178" s="31"/>
      <c r="C3178" s="31" t="s">
        <v>42</v>
      </c>
      <c r="D3178" s="32" t="s">
        <v>43</v>
      </c>
      <c r="E3178" s="4">
        <f>[1]Source!AQ3385</f>
        <v>16.190000000000001</v>
      </c>
      <c r="F3178" s="33"/>
      <c r="G3178" s="34" t="str">
        <f>[1]Source!DI3385</f>
        <v>)*1*58</v>
      </c>
      <c r="H3178" s="4">
        <f>[1]Source!AV3385</f>
        <v>1</v>
      </c>
      <c r="I3178" s="4"/>
      <c r="J3178" s="33"/>
      <c r="K3178" s="33">
        <f>[1]Source!U3385</f>
        <v>751.21600000000012</v>
      </c>
      <c r="M3178"/>
      <c r="N3178"/>
      <c r="O3178"/>
      <c r="P3178"/>
      <c r="Q3178"/>
    </row>
    <row r="3179" spans="1:42" ht="15" x14ac:dyDescent="0.25">
      <c r="A3179" s="35"/>
      <c r="B3179" s="35"/>
      <c r="C3179" s="35"/>
      <c r="D3179" s="35"/>
      <c r="E3179" s="35"/>
      <c r="F3179" s="35"/>
      <c r="G3179" s="35"/>
      <c r="H3179" s="35"/>
      <c r="I3179" s="36">
        <f>J3172+J3173+J3176+J3177+SUM(J3174:J3175)</f>
        <v>631048.44999999995</v>
      </c>
      <c r="J3179" s="36"/>
      <c r="K3179" s="37">
        <f>IF([1]Source!I3385&lt;&gt;0, ROUND(I3179/[1]Source!I3385, 2), 0)</f>
        <v>788810.56</v>
      </c>
      <c r="M3179"/>
      <c r="N3179"/>
      <c r="O3179"/>
      <c r="P3179"/>
      <c r="Q3179"/>
      <c r="AA3179" s="38">
        <f>I3179</f>
        <v>631048.44999999995</v>
      </c>
    </row>
    <row r="3180" spans="1:42" x14ac:dyDescent="0.2">
      <c r="M3180"/>
      <c r="N3180"/>
      <c r="O3180"/>
      <c r="P3180"/>
      <c r="Q3180"/>
    </row>
    <row r="3181" spans="1:42" ht="15" x14ac:dyDescent="0.25">
      <c r="A3181" s="42" t="str">
        <f>CONCATENATE("Итого по разделу: ",IF([1]Source!G3389&lt;&gt;"Новый раздел", [1]Source!G3389, ""))</f>
        <v>Итого по разделу: Уход за урнами (80шт.)</v>
      </c>
      <c r="B3181" s="42"/>
      <c r="C3181" s="42"/>
      <c r="D3181" s="42"/>
      <c r="E3181" s="42"/>
      <c r="F3181" s="42"/>
      <c r="G3181" s="42"/>
      <c r="H3181" s="42"/>
      <c r="I3181" s="43">
        <f>SUM(AA3159:AA3180)</f>
        <v>4197522.62</v>
      </c>
      <c r="J3181" s="44"/>
      <c r="K3181" s="47"/>
      <c r="L3181" s="38">
        <f>I3181</f>
        <v>4197522.62</v>
      </c>
      <c r="M3181" s="2">
        <f>ROUND(I3181*$I$4874,2)</f>
        <v>3031479.58</v>
      </c>
      <c r="N3181" s="2">
        <f>ROUND(M3181*1.2/105*100,2)</f>
        <v>3464548.09</v>
      </c>
      <c r="O3181" s="2">
        <f>ROUND(N3181*0.05,2)</f>
        <v>173227.4</v>
      </c>
      <c r="P3181" s="2">
        <f>N3181+O3181</f>
        <v>3637775.4899999998</v>
      </c>
      <c r="Q3181" s="3">
        <v>93</v>
      </c>
      <c r="R3181">
        <v>2</v>
      </c>
      <c r="S3181" s="2">
        <v>0</v>
      </c>
    </row>
    <row r="3182" spans="1:42" x14ac:dyDescent="0.2">
      <c r="M3182"/>
      <c r="N3182"/>
      <c r="O3182"/>
      <c r="P3182"/>
      <c r="Q3182"/>
    </row>
    <row r="3183" spans="1:42" x14ac:dyDescent="0.2">
      <c r="M3183"/>
      <c r="N3183"/>
      <c r="O3183"/>
      <c r="P3183"/>
      <c r="Q3183"/>
    </row>
    <row r="3184" spans="1:42" ht="16.5" x14ac:dyDescent="0.25">
      <c r="A3184" s="29" t="str">
        <f>CONCATENATE("Раздел: ",IF([1]Source!G3419&lt;&gt;"Новый раздел", [1]Source!G3419, ""))</f>
        <v>Раздел: Содержание  твердых покрытий и подпорных стенок Москворецкой набережной ( S=1889,1 м2 + 506,82 м2)</v>
      </c>
      <c r="B3184" s="29"/>
      <c r="C3184" s="29"/>
      <c r="D3184" s="29"/>
      <c r="E3184" s="29"/>
      <c r="F3184" s="29"/>
      <c r="G3184" s="29"/>
      <c r="H3184" s="29"/>
      <c r="I3184" s="29"/>
      <c r="J3184" s="29"/>
      <c r="K3184" s="29"/>
      <c r="M3184"/>
      <c r="N3184"/>
      <c r="O3184"/>
      <c r="P3184"/>
      <c r="Q3184"/>
      <c r="AP3184" s="30" t="str">
        <f>CONCATENATE("Раздел: ",IF([1]Source!G3419&lt;&gt;"Новый раздел", [1]Source!G3419, ""))</f>
        <v>Раздел: Содержание  твердых покрытий и подпорных стенок Москворецкой набережной ( S=1889,1 м2 + 506,82 м2)</v>
      </c>
    </row>
    <row r="3185" spans="1:33" x14ac:dyDescent="0.2">
      <c r="M3185"/>
      <c r="N3185"/>
      <c r="O3185"/>
      <c r="P3185"/>
      <c r="Q3185"/>
    </row>
    <row r="3186" spans="1:33" ht="16.5" x14ac:dyDescent="0.25">
      <c r="A3186" s="29" t="str">
        <f>CONCATENATE("Подраздел: ",IF([1]Source!G3423&lt;&gt;"Новый подраздел", [1]Source!G3423, ""))</f>
        <v>Подраздел: Содержание твердых покрытий ( S=1889,1 м2</v>
      </c>
      <c r="B3186" s="29"/>
      <c r="C3186" s="29"/>
      <c r="D3186" s="29"/>
      <c r="E3186" s="29"/>
      <c r="F3186" s="29"/>
      <c r="G3186" s="29"/>
      <c r="H3186" s="29"/>
      <c r="I3186" s="29"/>
      <c r="J3186" s="29"/>
      <c r="K3186" s="29"/>
      <c r="M3186"/>
      <c r="N3186"/>
      <c r="O3186"/>
      <c r="P3186"/>
      <c r="Q3186"/>
    </row>
    <row r="3187" spans="1:33" ht="57" x14ac:dyDescent="0.2">
      <c r="A3187" s="31">
        <v>411</v>
      </c>
      <c r="B3187" s="31" t="str">
        <f>[1]Source!F3427</f>
        <v>5.3-1101-15-1/1</v>
      </c>
      <c r="C3187" s="31" t="str">
        <f>[1]Source!G3427</f>
        <v>Подметание тротуаров, придомовых и внутрибольничных проездов средствами малой механизации(   1889,1м2* 0,7 = 1322,37 м2)</v>
      </c>
      <c r="D3187" s="32" t="str">
        <f>[1]Source!H3427</f>
        <v>1000 м2</v>
      </c>
      <c r="E3187" s="4">
        <f>[1]Source!I3427</f>
        <v>1.32237</v>
      </c>
      <c r="F3187" s="33"/>
      <c r="G3187" s="34"/>
      <c r="H3187" s="4"/>
      <c r="I3187" s="4"/>
      <c r="J3187" s="33"/>
      <c r="K3187" s="33"/>
      <c r="M3187"/>
      <c r="N3187"/>
      <c r="O3187"/>
      <c r="P3187"/>
      <c r="Q3187"/>
      <c r="AB3187">
        <f>ROUND(([1]Source!BZ3427/100)*ROUND(([1]Source!AF3427*[1]Source!AV3427)*[1]Source!I3427, 2), 2)</f>
        <v>0</v>
      </c>
      <c r="AC3187">
        <f>[1]Source!X3427</f>
        <v>0</v>
      </c>
      <c r="AD3187">
        <f>ROUND(([1]Source!CA3427/100)*ROUND(([1]Source!AF3427*[1]Source!AV3427)*[1]Source!I3427, 2), 2)</f>
        <v>0</v>
      </c>
      <c r="AE3187">
        <f>[1]Source!Y3427</f>
        <v>0</v>
      </c>
      <c r="AF3187">
        <f>ROUND((175/100)*ROUND(([1]Source!AE3427*[1]Source!AV3427)*[1]Source!I3427, 2), 2)</f>
        <v>328282.96999999997</v>
      </c>
      <c r="AG3187">
        <f>ROUND((108/100)*ROUND([1]Source!CS3427*[1]Source!I3427, 2), 2)</f>
        <v>202597.49</v>
      </c>
    </row>
    <row r="3188" spans="1:33" x14ac:dyDescent="0.2">
      <c r="C3188" s="40" t="str">
        <f>"Объем: "&amp;[1]Source!I3427&amp;"=1322,37/"&amp;"1000"</f>
        <v>Объем: 1,32237=1322,37/1000</v>
      </c>
      <c r="M3188"/>
      <c r="N3188"/>
      <c r="O3188"/>
      <c r="P3188"/>
      <c r="Q3188"/>
    </row>
    <row r="3189" spans="1:33" ht="14.25" x14ac:dyDescent="0.2">
      <c r="A3189" s="31"/>
      <c r="B3189" s="31"/>
      <c r="C3189" s="31" t="s">
        <v>33</v>
      </c>
      <c r="D3189" s="32"/>
      <c r="E3189" s="4"/>
      <c r="F3189" s="33">
        <f>[1]Source!AM3427</f>
        <v>290.76</v>
      </c>
      <c r="G3189" s="34" t="str">
        <f>[1]Source!DE3427</f>
        <v>)*3*398</v>
      </c>
      <c r="H3189" s="4">
        <f>[1]Source!AV3427</f>
        <v>1</v>
      </c>
      <c r="I3189" s="4">
        <f>IF([1]Source!BB3427&lt;&gt; 0, [1]Source!BB3427, 1)</f>
        <v>1</v>
      </c>
      <c r="J3189" s="33">
        <f>[1]Source!Q3427</f>
        <v>459083.81</v>
      </c>
      <c r="K3189" s="33"/>
      <c r="M3189"/>
      <c r="N3189"/>
      <c r="O3189"/>
      <c r="P3189"/>
      <c r="Q3189"/>
    </row>
    <row r="3190" spans="1:33" ht="14.25" x14ac:dyDescent="0.2">
      <c r="A3190" s="31"/>
      <c r="B3190" s="31"/>
      <c r="C3190" s="31" t="s">
        <v>37</v>
      </c>
      <c r="D3190" s="32"/>
      <c r="E3190" s="4"/>
      <c r="F3190" s="33">
        <f>[1]Source!AN3427</f>
        <v>118.81</v>
      </c>
      <c r="G3190" s="34" t="str">
        <f>[1]Source!DF3427</f>
        <v>)*3*398</v>
      </c>
      <c r="H3190" s="4">
        <f>[1]Source!AV3427</f>
        <v>1</v>
      </c>
      <c r="I3190" s="4">
        <f>IF([1]Source!BS3427&lt;&gt; 0, [1]Source!BS3427, 1)</f>
        <v>1</v>
      </c>
      <c r="J3190" s="41">
        <f>[1]Source!R3427</f>
        <v>187590.27</v>
      </c>
      <c r="K3190" s="33"/>
      <c r="M3190"/>
      <c r="N3190"/>
      <c r="O3190"/>
      <c r="P3190"/>
      <c r="Q3190"/>
    </row>
    <row r="3191" spans="1:33" ht="14.25" x14ac:dyDescent="0.2">
      <c r="A3191" s="31"/>
      <c r="B3191" s="31"/>
      <c r="C3191" s="31" t="s">
        <v>47</v>
      </c>
      <c r="D3191" s="32"/>
      <c r="E3191" s="4"/>
      <c r="F3191" s="33">
        <f>[1]Source!AL3427</f>
        <v>8.49</v>
      </c>
      <c r="G3191" s="34" t="str">
        <f>[1]Source!DD3427</f>
        <v>)*3*398</v>
      </c>
      <c r="H3191" s="4">
        <f>[1]Source!AW3427</f>
        <v>1</v>
      </c>
      <c r="I3191" s="4">
        <f>IF([1]Source!BC3427&lt;&gt; 0, [1]Source!BC3427, 1)</f>
        <v>1</v>
      </c>
      <c r="J3191" s="33">
        <f>[1]Source!P3427</f>
        <v>13404.94</v>
      </c>
      <c r="K3191" s="33"/>
      <c r="M3191"/>
      <c r="N3191"/>
      <c r="O3191"/>
      <c r="P3191"/>
      <c r="Q3191"/>
    </row>
    <row r="3192" spans="1:33" ht="14.25" x14ac:dyDescent="0.2">
      <c r="A3192" s="31" t="s">
        <v>153</v>
      </c>
      <c r="B3192" s="31" t="str">
        <f>[1]Source!F3428</f>
        <v>21.1-25-13</v>
      </c>
      <c r="C3192" s="31" t="str">
        <f>[1]Source!G3428</f>
        <v>Вода</v>
      </c>
      <c r="D3192" s="32" t="str">
        <f>[1]Source!H3428</f>
        <v>м3</v>
      </c>
      <c r="E3192" s="4">
        <f>[1]Source!I3428</f>
        <v>-315.78195599999998</v>
      </c>
      <c r="F3192" s="33">
        <f>[1]Source!AK3428</f>
        <v>42.44</v>
      </c>
      <c r="G3192" s="39" t="s">
        <v>100</v>
      </c>
      <c r="H3192" s="4">
        <f>[1]Source!AW3428</f>
        <v>1</v>
      </c>
      <c r="I3192" s="4">
        <f>IF([1]Source!BC3428&lt;&gt; 0, [1]Source!BC3428, 1)</f>
        <v>1</v>
      </c>
      <c r="J3192" s="33">
        <f>[1]Source!O3428</f>
        <v>-13401.79</v>
      </c>
      <c r="K3192" s="33"/>
      <c r="M3192"/>
      <c r="N3192"/>
      <c r="O3192"/>
      <c r="P3192"/>
      <c r="Q3192"/>
      <c r="AB3192">
        <f>ROUND(([1]Source!BZ3428/100)*ROUND(([1]Source!AF3428*[1]Source!AV3428)*[1]Source!I3428, 2), 2)</f>
        <v>0</v>
      </c>
      <c r="AC3192">
        <f>[1]Source!X3428</f>
        <v>0</v>
      </c>
      <c r="AD3192">
        <f>ROUND(([1]Source!CA3428/100)*ROUND(([1]Source!AF3428*[1]Source!AV3428)*[1]Source!I3428, 2), 2)</f>
        <v>0</v>
      </c>
      <c r="AE3192">
        <f>[1]Source!Y3428</f>
        <v>0</v>
      </c>
      <c r="AF3192">
        <f>ROUND((175/100)*ROUND(([1]Source!AE3428*[1]Source!AV3428)*[1]Source!I3428, 2), 2)</f>
        <v>0</v>
      </c>
      <c r="AG3192">
        <f>ROUND((108/100)*ROUND([1]Source!CS3428*[1]Source!I3428, 2), 2)</f>
        <v>0</v>
      </c>
    </row>
    <row r="3193" spans="1:33" ht="14.25" x14ac:dyDescent="0.2">
      <c r="A3193" s="31"/>
      <c r="B3193" s="31"/>
      <c r="C3193" s="31" t="s">
        <v>38</v>
      </c>
      <c r="D3193" s="32" t="s">
        <v>39</v>
      </c>
      <c r="E3193" s="4">
        <f>108</f>
        <v>108</v>
      </c>
      <c r="F3193" s="33"/>
      <c r="G3193" s="34"/>
      <c r="H3193" s="4"/>
      <c r="I3193" s="4"/>
      <c r="J3193" s="33">
        <f>SUM(AG3187:AG3192)</f>
        <v>202597.49</v>
      </c>
      <c r="K3193" s="33"/>
      <c r="M3193"/>
      <c r="N3193"/>
      <c r="O3193"/>
      <c r="P3193"/>
      <c r="Q3193"/>
    </row>
    <row r="3194" spans="1:33" ht="15" x14ac:dyDescent="0.25">
      <c r="A3194" s="35"/>
      <c r="B3194" s="35"/>
      <c r="C3194" s="35"/>
      <c r="D3194" s="35"/>
      <c r="E3194" s="35"/>
      <c r="F3194" s="35"/>
      <c r="G3194" s="35"/>
      <c r="H3194" s="35"/>
      <c r="I3194" s="36">
        <f>J3189+J3191+J3193+SUM(J3192:J3192)</f>
        <v>661684.44999999995</v>
      </c>
      <c r="J3194" s="36"/>
      <c r="K3194" s="37">
        <f>IF([1]Source!I3427&lt;&gt;0, ROUND(I3194/[1]Source!I3427, 2), 0)</f>
        <v>500377.69</v>
      </c>
      <c r="M3194"/>
      <c r="N3194"/>
      <c r="O3194"/>
      <c r="P3194"/>
      <c r="Q3194"/>
      <c r="AA3194" s="38">
        <f>I3194</f>
        <v>661684.44999999995</v>
      </c>
    </row>
    <row r="3195" spans="1:33" ht="42.75" x14ac:dyDescent="0.2">
      <c r="A3195" s="31">
        <v>412</v>
      </c>
      <c r="B3195" s="31" t="str">
        <f>[1]Source!F3429</f>
        <v>5.3-1101-13-1/1</v>
      </c>
      <c r="C3195" s="31" t="str">
        <f>[1]Source!G3429</f>
        <v>Подметание вручную дорожек и площадок с твердым покрытием( 1889,1 м2*0,3=566.73 м2)</v>
      </c>
      <c r="D3195" s="32" t="str">
        <f>[1]Source!H3429</f>
        <v>100 м2</v>
      </c>
      <c r="E3195" s="4">
        <f>[1]Source!I3429</f>
        <v>5.6673</v>
      </c>
      <c r="F3195" s="33"/>
      <c r="G3195" s="34"/>
      <c r="H3195" s="4"/>
      <c r="I3195" s="4"/>
      <c r="J3195" s="33"/>
      <c r="K3195" s="33"/>
      <c r="M3195"/>
      <c r="N3195"/>
      <c r="O3195"/>
      <c r="P3195"/>
      <c r="Q3195"/>
      <c r="AB3195">
        <f>ROUND(([1]Source!BZ3429/100)*ROUND(([1]Source!AF3429*[1]Source!AV3429)*[1]Source!I3429, 2), 2)</f>
        <v>164411.88</v>
      </c>
      <c r="AC3195">
        <f>[1]Source!X3429</f>
        <v>164411.88</v>
      </c>
      <c r="AD3195">
        <f>ROUND(([1]Source!CA3429/100)*ROUND(([1]Source!AF3429*[1]Source!AV3429)*[1]Source!I3429, 2), 2)</f>
        <v>23487.41</v>
      </c>
      <c r="AE3195">
        <f>[1]Source!Y3429</f>
        <v>23487.41</v>
      </c>
      <c r="AF3195">
        <f>ROUND((175/100)*ROUND(([1]Source!AE3429*[1]Source!AV3429)*[1]Source!I3429, 2), 2)</f>
        <v>0</v>
      </c>
      <c r="AG3195">
        <f>ROUND((108/100)*ROUND([1]Source!CS3429*[1]Source!I3429, 2), 2)</f>
        <v>0</v>
      </c>
    </row>
    <row r="3196" spans="1:33" x14ac:dyDescent="0.2">
      <c r="C3196" s="40" t="str">
        <f>"Объем: "&amp;[1]Source!I3429&amp;"=566,73/"&amp;"100"</f>
        <v>Объем: 5,6673=566,73/100</v>
      </c>
      <c r="M3196"/>
      <c r="N3196"/>
      <c r="O3196"/>
      <c r="P3196"/>
      <c r="Q3196"/>
    </row>
    <row r="3197" spans="1:33" ht="14.25" x14ac:dyDescent="0.2">
      <c r="A3197" s="31"/>
      <c r="B3197" s="31"/>
      <c r="C3197" s="31" t="s">
        <v>34</v>
      </c>
      <c r="D3197" s="32"/>
      <c r="E3197" s="4"/>
      <c r="F3197" s="33">
        <f>[1]Source!AO3429</f>
        <v>34.71</v>
      </c>
      <c r="G3197" s="34" t="str">
        <f>[1]Source!DG3429</f>
        <v>)*3*398</v>
      </c>
      <c r="H3197" s="4">
        <f>[1]Source!AV3429</f>
        <v>1</v>
      </c>
      <c r="I3197" s="4">
        <f>IF([1]Source!BA3429&lt;&gt; 0, [1]Source!BA3429, 1)</f>
        <v>1</v>
      </c>
      <c r="J3197" s="33">
        <f>[1]Source!S3429</f>
        <v>234874.11</v>
      </c>
      <c r="K3197" s="33"/>
      <c r="M3197"/>
      <c r="N3197"/>
      <c r="O3197"/>
      <c r="P3197"/>
      <c r="Q3197"/>
    </row>
    <row r="3198" spans="1:33" ht="14.25" x14ac:dyDescent="0.2">
      <c r="A3198" s="31"/>
      <c r="B3198" s="31"/>
      <c r="C3198" s="31" t="s">
        <v>40</v>
      </c>
      <c r="D3198" s="32" t="s">
        <v>39</v>
      </c>
      <c r="E3198" s="4">
        <f>[1]Source!AT3429</f>
        <v>70</v>
      </c>
      <c r="F3198" s="33"/>
      <c r="G3198" s="34"/>
      <c r="H3198" s="4"/>
      <c r="I3198" s="4"/>
      <c r="J3198" s="33">
        <f>SUM(AC3195:AC3197)</f>
        <v>164411.88</v>
      </c>
      <c r="K3198" s="33"/>
      <c r="M3198"/>
      <c r="N3198"/>
      <c r="O3198"/>
      <c r="P3198"/>
      <c r="Q3198"/>
    </row>
    <row r="3199" spans="1:33" ht="14.25" x14ac:dyDescent="0.2">
      <c r="A3199" s="31"/>
      <c r="B3199" s="31"/>
      <c r="C3199" s="31" t="s">
        <v>41</v>
      </c>
      <c r="D3199" s="32" t="s">
        <v>39</v>
      </c>
      <c r="E3199" s="4">
        <f>[1]Source!AU3429</f>
        <v>10</v>
      </c>
      <c r="F3199" s="33"/>
      <c r="G3199" s="34"/>
      <c r="H3199" s="4"/>
      <c r="I3199" s="4"/>
      <c r="J3199" s="33">
        <f>SUM(AE3195:AE3198)</f>
        <v>23487.41</v>
      </c>
      <c r="K3199" s="33"/>
      <c r="M3199"/>
      <c r="N3199"/>
      <c r="O3199"/>
      <c r="P3199"/>
      <c r="Q3199"/>
    </row>
    <row r="3200" spans="1:33" ht="14.25" x14ac:dyDescent="0.2">
      <c r="A3200" s="31"/>
      <c r="B3200" s="31"/>
      <c r="C3200" s="31" t="s">
        <v>42</v>
      </c>
      <c r="D3200" s="32" t="s">
        <v>43</v>
      </c>
      <c r="E3200" s="4">
        <f>[1]Source!AQ3429</f>
        <v>0.14000000000000001</v>
      </c>
      <c r="F3200" s="33"/>
      <c r="G3200" s="34" t="str">
        <f>[1]Source!DI3429</f>
        <v>)*3*398</v>
      </c>
      <c r="H3200" s="4">
        <f>[1]Source!AV3429</f>
        <v>1</v>
      </c>
      <c r="I3200" s="4"/>
      <c r="J3200" s="33"/>
      <c r="K3200" s="33">
        <f>[1]Source!U3429</f>
        <v>947.34586800000011</v>
      </c>
      <c r="M3200"/>
      <c r="N3200"/>
      <c r="O3200"/>
      <c r="P3200"/>
      <c r="Q3200"/>
    </row>
    <row r="3201" spans="1:33" ht="15" x14ac:dyDescent="0.25">
      <c r="A3201" s="35"/>
      <c r="B3201" s="35"/>
      <c r="C3201" s="35"/>
      <c r="D3201" s="35"/>
      <c r="E3201" s="35"/>
      <c r="F3201" s="35"/>
      <c r="G3201" s="35"/>
      <c r="H3201" s="35"/>
      <c r="I3201" s="36">
        <f>J3197+J3198+J3199</f>
        <v>422773.39999999997</v>
      </c>
      <c r="J3201" s="36"/>
      <c r="K3201" s="37">
        <f>IF([1]Source!I3429&lt;&gt;0, ROUND(I3201/[1]Source!I3429, 2), 0)</f>
        <v>74598.73</v>
      </c>
      <c r="M3201"/>
      <c r="N3201"/>
      <c r="O3201"/>
      <c r="P3201"/>
      <c r="Q3201"/>
      <c r="AA3201" s="38">
        <f>I3201</f>
        <v>422773.39999999997</v>
      </c>
    </row>
    <row r="3202" spans="1:33" ht="71.25" x14ac:dyDescent="0.2">
      <c r="A3202" s="31">
        <v>413</v>
      </c>
      <c r="B3202" s="31" t="str">
        <f>[1]Source!F3430</f>
        <v>5.3-1101-13-1/1</v>
      </c>
      <c r="C3202" s="31" t="str">
        <f>[1]Source!G3430</f>
        <v>Подметание вручную дорожек и площадок с твердым покрытием (  дополнительное подметание покрытий при средней засоренности в дни листопада)</v>
      </c>
      <c r="D3202" s="32" t="str">
        <f>[1]Source!H3430</f>
        <v>100 м2</v>
      </c>
      <c r="E3202" s="4">
        <f>[1]Source!I3430</f>
        <v>18.890999999999998</v>
      </c>
      <c r="F3202" s="33"/>
      <c r="G3202" s="34"/>
      <c r="H3202" s="4"/>
      <c r="I3202" s="4"/>
      <c r="J3202" s="33"/>
      <c r="K3202" s="33"/>
      <c r="M3202"/>
      <c r="N3202"/>
      <c r="O3202"/>
      <c r="P3202"/>
      <c r="Q3202"/>
      <c r="AB3202">
        <f>ROUND(([1]Source!BZ3430/100)*ROUND(([1]Source!AF3430*[1]Source!AV3430)*[1]Source!I3430, 2), 2)</f>
        <v>42227.51</v>
      </c>
      <c r="AC3202">
        <f>[1]Source!X3430</f>
        <v>42227.51</v>
      </c>
      <c r="AD3202">
        <f>ROUND(([1]Source!CA3430/100)*ROUND(([1]Source!AF3430*[1]Source!AV3430)*[1]Source!I3430, 2), 2)</f>
        <v>6032.5</v>
      </c>
      <c r="AE3202">
        <f>[1]Source!Y3430</f>
        <v>6032.5</v>
      </c>
      <c r="AF3202">
        <f>ROUND((175/100)*ROUND(([1]Source!AE3430*[1]Source!AV3430)*[1]Source!I3430, 2), 2)</f>
        <v>0</v>
      </c>
      <c r="AG3202">
        <f>ROUND((108/100)*ROUND([1]Source!CS3430*[1]Source!I3430, 2), 2)</f>
        <v>0</v>
      </c>
    </row>
    <row r="3203" spans="1:33" x14ac:dyDescent="0.2">
      <c r="C3203" s="40" t="str">
        <f>"Объем: "&amp;[1]Source!I3430&amp;"=1889,1/"&amp;"100"</f>
        <v>Объем: 18,891=1889,1/100</v>
      </c>
      <c r="M3203"/>
      <c r="N3203"/>
      <c r="O3203"/>
      <c r="P3203"/>
      <c r="Q3203"/>
    </row>
    <row r="3204" spans="1:33" ht="14.25" x14ac:dyDescent="0.2">
      <c r="A3204" s="31"/>
      <c r="B3204" s="31"/>
      <c r="C3204" s="31" t="s">
        <v>34</v>
      </c>
      <c r="D3204" s="32"/>
      <c r="E3204" s="4"/>
      <c r="F3204" s="33">
        <f>[1]Source!AO3430</f>
        <v>34.71</v>
      </c>
      <c r="G3204" s="34" t="str">
        <f>[1]Source!DG3430</f>
        <v>)*1*92</v>
      </c>
      <c r="H3204" s="4">
        <f>[1]Source!AV3430</f>
        <v>1</v>
      </c>
      <c r="I3204" s="4">
        <f>IF([1]Source!BA3430&lt;&gt; 0, [1]Source!BA3430, 1)</f>
        <v>1</v>
      </c>
      <c r="J3204" s="33">
        <f>[1]Source!S3430</f>
        <v>60325.01</v>
      </c>
      <c r="K3204" s="33"/>
      <c r="M3204"/>
      <c r="N3204"/>
      <c r="O3204"/>
      <c r="P3204"/>
      <c r="Q3204"/>
    </row>
    <row r="3205" spans="1:33" ht="14.25" x14ac:dyDescent="0.2">
      <c r="A3205" s="31"/>
      <c r="B3205" s="31"/>
      <c r="C3205" s="31" t="s">
        <v>40</v>
      </c>
      <c r="D3205" s="32" t="s">
        <v>39</v>
      </c>
      <c r="E3205" s="4">
        <f>[1]Source!AT3430</f>
        <v>70</v>
      </c>
      <c r="F3205" s="33"/>
      <c r="G3205" s="34"/>
      <c r="H3205" s="4"/>
      <c r="I3205" s="4"/>
      <c r="J3205" s="33">
        <f>SUM(AC3202:AC3204)</f>
        <v>42227.51</v>
      </c>
      <c r="K3205" s="33"/>
      <c r="M3205"/>
      <c r="N3205"/>
      <c r="O3205"/>
      <c r="P3205"/>
      <c r="Q3205"/>
    </row>
    <row r="3206" spans="1:33" ht="14.25" x14ac:dyDescent="0.2">
      <c r="A3206" s="31"/>
      <c r="B3206" s="31"/>
      <c r="C3206" s="31" t="s">
        <v>41</v>
      </c>
      <c r="D3206" s="32" t="s">
        <v>39</v>
      </c>
      <c r="E3206" s="4">
        <f>[1]Source!AU3430</f>
        <v>10</v>
      </c>
      <c r="F3206" s="33"/>
      <c r="G3206" s="34"/>
      <c r="H3206" s="4"/>
      <c r="I3206" s="4"/>
      <c r="J3206" s="33">
        <f>SUM(AE3202:AE3205)</f>
        <v>6032.5</v>
      </c>
      <c r="K3206" s="33"/>
      <c r="M3206"/>
      <c r="N3206"/>
      <c r="O3206"/>
      <c r="P3206"/>
      <c r="Q3206"/>
    </row>
    <row r="3207" spans="1:33" ht="14.25" x14ac:dyDescent="0.2">
      <c r="A3207" s="31"/>
      <c r="B3207" s="31"/>
      <c r="C3207" s="31" t="s">
        <v>42</v>
      </c>
      <c r="D3207" s="32" t="s">
        <v>43</v>
      </c>
      <c r="E3207" s="4">
        <f>[1]Source!AQ3430</f>
        <v>0.14000000000000001</v>
      </c>
      <c r="F3207" s="33"/>
      <c r="G3207" s="34" t="str">
        <f>[1]Source!DI3430</f>
        <v>)*1*92</v>
      </c>
      <c r="H3207" s="4">
        <f>[1]Source!AV3430</f>
        <v>1</v>
      </c>
      <c r="I3207" s="4"/>
      <c r="J3207" s="33"/>
      <c r="K3207" s="33">
        <f>[1]Source!U3430</f>
        <v>243.31608</v>
      </c>
      <c r="M3207"/>
      <c r="N3207"/>
      <c r="O3207"/>
      <c r="P3207"/>
      <c r="Q3207"/>
    </row>
    <row r="3208" spans="1:33" ht="15" x14ac:dyDescent="0.25">
      <c r="A3208" s="35"/>
      <c r="B3208" s="35"/>
      <c r="C3208" s="35"/>
      <c r="D3208" s="35"/>
      <c r="E3208" s="35"/>
      <c r="F3208" s="35"/>
      <c r="G3208" s="35"/>
      <c r="H3208" s="35"/>
      <c r="I3208" s="36">
        <f>J3204+J3205+J3206</f>
        <v>108585.02</v>
      </c>
      <c r="J3208" s="36"/>
      <c r="K3208" s="37">
        <f>IF([1]Source!I3430&lt;&gt;0, ROUND(I3208/[1]Source!I3430, 2), 0)</f>
        <v>5747.98</v>
      </c>
      <c r="M3208"/>
      <c r="N3208"/>
      <c r="O3208"/>
      <c r="P3208"/>
      <c r="Q3208"/>
      <c r="AA3208" s="38">
        <f>I3208</f>
        <v>108585.02</v>
      </c>
    </row>
    <row r="3209" spans="1:33" ht="42.75" x14ac:dyDescent="0.2">
      <c r="A3209" s="31">
        <v>414</v>
      </c>
      <c r="B3209" s="31" t="str">
        <f>[1]Source!F3431</f>
        <v>5.3-1101-15-5/1</v>
      </c>
      <c r="C3209" s="31" t="str">
        <f>[1]Source!G3431</f>
        <v>Мытье тротуаров, придомовых и внутрибольничных проездов средствами малой механизации</v>
      </c>
      <c r="D3209" s="32" t="str">
        <f>[1]Source!H3431</f>
        <v>1000 м2</v>
      </c>
      <c r="E3209" s="4">
        <f>[1]Source!I3431</f>
        <v>1.8891</v>
      </c>
      <c r="F3209" s="33"/>
      <c r="G3209" s="34"/>
      <c r="H3209" s="4"/>
      <c r="I3209" s="4"/>
      <c r="J3209" s="33"/>
      <c r="K3209" s="33"/>
      <c r="M3209"/>
      <c r="N3209"/>
      <c r="O3209"/>
      <c r="P3209"/>
      <c r="Q3209"/>
      <c r="AB3209">
        <f>ROUND(([1]Source!BZ3431/100)*ROUND(([1]Source!AF3431*[1]Source!AV3431)*[1]Source!I3431, 2), 2)</f>
        <v>0</v>
      </c>
      <c r="AC3209">
        <f>[1]Source!X3431</f>
        <v>0</v>
      </c>
      <c r="AD3209">
        <f>ROUND(([1]Source!CA3431/100)*ROUND(([1]Source!AF3431*[1]Source!AV3431)*[1]Source!I3431, 2), 2)</f>
        <v>0</v>
      </c>
      <c r="AE3209">
        <f>[1]Source!Y3431</f>
        <v>0</v>
      </c>
      <c r="AF3209">
        <f>ROUND((175/100)*ROUND(([1]Source!AE3431*[1]Source!AV3431)*[1]Source!I3431, 2), 2)</f>
        <v>1994.07</v>
      </c>
      <c r="AG3209">
        <f>ROUND((108/100)*ROUND([1]Source!CS3431*[1]Source!I3431, 2), 2)</f>
        <v>1230.6300000000001</v>
      </c>
    </row>
    <row r="3210" spans="1:33" x14ac:dyDescent="0.2">
      <c r="C3210" s="40" t="str">
        <f>"Объем: "&amp;[1]Source!I3431&amp;"=1889,1/"&amp;"1000"</f>
        <v>Объем: 1,8891=1889,1/1000</v>
      </c>
      <c r="M3210"/>
      <c r="N3210"/>
      <c r="O3210"/>
      <c r="P3210"/>
      <c r="Q3210"/>
    </row>
    <row r="3211" spans="1:33" ht="14.25" x14ac:dyDescent="0.2">
      <c r="A3211" s="31"/>
      <c r="B3211" s="31"/>
      <c r="C3211" s="31" t="s">
        <v>33</v>
      </c>
      <c r="D3211" s="32"/>
      <c r="E3211" s="4"/>
      <c r="F3211" s="33">
        <f>[1]Source!AM3431</f>
        <v>738.08</v>
      </c>
      <c r="G3211" s="34" t="str">
        <f>[1]Source!DE3431</f>
        <v>)*1*2</v>
      </c>
      <c r="H3211" s="4">
        <f>[1]Source!AV3431</f>
        <v>1</v>
      </c>
      <c r="I3211" s="4">
        <f>IF([1]Source!BB3431&lt;&gt; 0, [1]Source!BB3431, 1)</f>
        <v>1</v>
      </c>
      <c r="J3211" s="33">
        <f>[1]Source!Q3431</f>
        <v>2788.61</v>
      </c>
      <c r="K3211" s="33"/>
      <c r="M3211"/>
      <c r="N3211"/>
      <c r="O3211"/>
      <c r="P3211"/>
      <c r="Q3211"/>
    </row>
    <row r="3212" spans="1:33" ht="14.25" x14ac:dyDescent="0.2">
      <c r="A3212" s="31"/>
      <c r="B3212" s="31"/>
      <c r="C3212" s="31" t="s">
        <v>37</v>
      </c>
      <c r="D3212" s="32"/>
      <c r="E3212" s="4"/>
      <c r="F3212" s="33">
        <f>[1]Source!AN3431</f>
        <v>301.58999999999997</v>
      </c>
      <c r="G3212" s="34" t="str">
        <f>[1]Source!DF3431</f>
        <v>)*1*2</v>
      </c>
      <c r="H3212" s="4">
        <f>[1]Source!AV3431</f>
        <v>1</v>
      </c>
      <c r="I3212" s="4">
        <f>IF([1]Source!BS3431&lt;&gt; 0, [1]Source!BS3431, 1)</f>
        <v>1</v>
      </c>
      <c r="J3212" s="41">
        <f>[1]Source!R3431</f>
        <v>1139.47</v>
      </c>
      <c r="K3212" s="33"/>
      <c r="M3212"/>
      <c r="N3212"/>
      <c r="O3212"/>
      <c r="P3212"/>
      <c r="Q3212"/>
    </row>
    <row r="3213" spans="1:33" ht="14.25" x14ac:dyDescent="0.2">
      <c r="A3213" s="31"/>
      <c r="B3213" s="31"/>
      <c r="C3213" s="31" t="s">
        <v>47</v>
      </c>
      <c r="D3213" s="32"/>
      <c r="E3213" s="4"/>
      <c r="F3213" s="33">
        <f>[1]Source!AL3431</f>
        <v>194.05</v>
      </c>
      <c r="G3213" s="34" t="str">
        <f>[1]Source!DD3431</f>
        <v>)*1*2</v>
      </c>
      <c r="H3213" s="4">
        <f>[1]Source!AW3431</f>
        <v>1</v>
      </c>
      <c r="I3213" s="4">
        <f>IF([1]Source!BC3431&lt;&gt; 0, [1]Source!BC3431, 1)</f>
        <v>1</v>
      </c>
      <c r="J3213" s="33">
        <f>[1]Source!P3431</f>
        <v>733.16</v>
      </c>
      <c r="K3213" s="33"/>
      <c r="M3213"/>
      <c r="N3213"/>
      <c r="O3213"/>
      <c r="P3213"/>
      <c r="Q3213"/>
    </row>
    <row r="3214" spans="1:33" ht="14.25" x14ac:dyDescent="0.2">
      <c r="A3214" s="31" t="s">
        <v>154</v>
      </c>
      <c r="B3214" s="31" t="str">
        <f>[1]Source!F3432</f>
        <v>21.1-25-13</v>
      </c>
      <c r="C3214" s="31" t="str">
        <f>[1]Source!G3432</f>
        <v>Вода</v>
      </c>
      <c r="D3214" s="32" t="str">
        <f>[1]Source!H3432</f>
        <v>м3</v>
      </c>
      <c r="E3214" s="4">
        <f>[1]Source!I3432</f>
        <v>-4.2315839999999998</v>
      </c>
      <c r="F3214" s="33">
        <f>[1]Source!AK3432</f>
        <v>42.44</v>
      </c>
      <c r="G3214" s="39" t="s">
        <v>102</v>
      </c>
      <c r="H3214" s="4">
        <f>[1]Source!AW3432</f>
        <v>1</v>
      </c>
      <c r="I3214" s="4">
        <f>IF([1]Source!BC3432&lt;&gt; 0, [1]Source!BC3432, 1)</f>
        <v>1</v>
      </c>
      <c r="J3214" s="33">
        <f>[1]Source!O3432</f>
        <v>-179.59</v>
      </c>
      <c r="K3214" s="33"/>
      <c r="M3214"/>
      <c r="N3214"/>
      <c r="O3214"/>
      <c r="P3214"/>
      <c r="Q3214"/>
      <c r="AB3214">
        <f>ROUND(([1]Source!BZ3432/100)*ROUND(([1]Source!AF3432*[1]Source!AV3432)*[1]Source!I3432, 2), 2)</f>
        <v>0</v>
      </c>
      <c r="AC3214">
        <f>[1]Source!X3432</f>
        <v>0</v>
      </c>
      <c r="AD3214">
        <f>ROUND(([1]Source!CA3432/100)*ROUND(([1]Source!AF3432*[1]Source!AV3432)*[1]Source!I3432, 2), 2)</f>
        <v>0</v>
      </c>
      <c r="AE3214">
        <f>[1]Source!Y3432</f>
        <v>0</v>
      </c>
      <c r="AF3214">
        <f>ROUND((175/100)*ROUND(([1]Source!AE3432*[1]Source!AV3432)*[1]Source!I3432, 2), 2)</f>
        <v>0</v>
      </c>
      <c r="AG3214">
        <f>ROUND((108/100)*ROUND([1]Source!CS3432*[1]Source!I3432, 2), 2)</f>
        <v>0</v>
      </c>
    </row>
    <row r="3215" spans="1:33" ht="14.25" x14ac:dyDescent="0.2">
      <c r="A3215" s="31"/>
      <c r="B3215" s="31"/>
      <c r="C3215" s="31" t="s">
        <v>38</v>
      </c>
      <c r="D3215" s="32" t="s">
        <v>39</v>
      </c>
      <c r="E3215" s="4">
        <f>108</f>
        <v>108</v>
      </c>
      <c r="F3215" s="33"/>
      <c r="G3215" s="34"/>
      <c r="H3215" s="4"/>
      <c r="I3215" s="4"/>
      <c r="J3215" s="33">
        <f>SUM(AG3209:AG3214)</f>
        <v>1230.6300000000001</v>
      </c>
      <c r="K3215" s="33"/>
      <c r="M3215"/>
      <c r="N3215"/>
      <c r="O3215"/>
      <c r="P3215"/>
      <c r="Q3215"/>
    </row>
    <row r="3216" spans="1:33" ht="15" x14ac:dyDescent="0.25">
      <c r="A3216" s="35"/>
      <c r="B3216" s="35"/>
      <c r="C3216" s="35"/>
      <c r="D3216" s="35"/>
      <c r="E3216" s="35"/>
      <c r="F3216" s="35"/>
      <c r="G3216" s="35"/>
      <c r="H3216" s="35"/>
      <c r="I3216" s="36">
        <f>J3211+J3213+J3215+SUM(J3214:J3214)</f>
        <v>4572.8099999999995</v>
      </c>
      <c r="J3216" s="36"/>
      <c r="K3216" s="37">
        <f>IF([1]Source!I3431&lt;&gt;0, ROUND(I3216/[1]Source!I3431, 2), 0)</f>
        <v>2420.63</v>
      </c>
      <c r="M3216"/>
      <c r="N3216"/>
      <c r="O3216"/>
      <c r="P3216"/>
      <c r="Q3216"/>
      <c r="AA3216" s="38">
        <f>I3216</f>
        <v>4572.8099999999995</v>
      </c>
    </row>
    <row r="3217" spans="1:33" ht="42.75" x14ac:dyDescent="0.2">
      <c r="A3217" s="31">
        <v>415</v>
      </c>
      <c r="B3217" s="31" t="str">
        <f>[1]Source!F3433</f>
        <v>5.3-1101-15-4/1</v>
      </c>
      <c r="C3217" s="31" t="str">
        <f>[1]Source!G3433</f>
        <v>Полив тротуаров, придомовых и внутрибольничных проездов средствами малой механизации</v>
      </c>
      <c r="D3217" s="32" t="str">
        <f>[1]Source!H3433</f>
        <v>1000 м2</v>
      </c>
      <c r="E3217" s="4">
        <f>[1]Source!I3433</f>
        <v>1.8891</v>
      </c>
      <c r="F3217" s="33"/>
      <c r="G3217" s="34"/>
      <c r="H3217" s="4"/>
      <c r="I3217" s="4"/>
      <c r="J3217" s="33"/>
      <c r="K3217" s="33"/>
      <c r="M3217"/>
      <c r="N3217"/>
      <c r="O3217"/>
      <c r="P3217"/>
      <c r="Q3217"/>
      <c r="AB3217">
        <f>ROUND(([1]Source!BZ3433/100)*ROUND(([1]Source!AF3433*[1]Source!AV3433)*[1]Source!I3433, 2), 2)</f>
        <v>0</v>
      </c>
      <c r="AC3217">
        <f>[1]Source!X3433</f>
        <v>0</v>
      </c>
      <c r="AD3217">
        <f>ROUND(([1]Source!CA3433/100)*ROUND(([1]Source!AF3433*[1]Source!AV3433)*[1]Source!I3433, 2), 2)</f>
        <v>0</v>
      </c>
      <c r="AE3217">
        <f>[1]Source!Y3433</f>
        <v>0</v>
      </c>
      <c r="AF3217">
        <f>ROUND((175/100)*ROUND(([1]Source!AE3433*[1]Source!AV3433)*[1]Source!I3433, 2), 2)</f>
        <v>114205.16</v>
      </c>
      <c r="AG3217">
        <f>ROUND((108/100)*ROUND([1]Source!CS3433*[1]Source!I3433, 2), 2)</f>
        <v>70480.899999999994</v>
      </c>
    </row>
    <row r="3218" spans="1:33" x14ac:dyDescent="0.2">
      <c r="C3218" s="40" t="str">
        <f>"Объем: "&amp;[1]Source!I3433&amp;"=1889,1/"&amp;"1000"</f>
        <v>Объем: 1,8891=1889,1/1000</v>
      </c>
      <c r="M3218"/>
      <c r="N3218"/>
      <c r="O3218"/>
      <c r="P3218"/>
      <c r="Q3218"/>
    </row>
    <row r="3219" spans="1:33" ht="14.25" x14ac:dyDescent="0.2">
      <c r="A3219" s="31"/>
      <c r="B3219" s="31"/>
      <c r="C3219" s="31" t="s">
        <v>33</v>
      </c>
      <c r="D3219" s="32"/>
      <c r="E3219" s="4"/>
      <c r="F3219" s="33">
        <f>[1]Source!AM3433</f>
        <v>469.69</v>
      </c>
      <c r="G3219" s="34" t="str">
        <f>[1]Source!DE3433</f>
        <v>)*2*90</v>
      </c>
      <c r="H3219" s="4">
        <f>[1]Source!AV3433</f>
        <v>1</v>
      </c>
      <c r="I3219" s="4">
        <f>IF([1]Source!BB3433&lt;&gt; 0, [1]Source!BB3433, 1)</f>
        <v>1</v>
      </c>
      <c r="J3219" s="33">
        <f>[1]Source!Q3433</f>
        <v>159712.45000000001</v>
      </c>
      <c r="K3219" s="33"/>
      <c r="M3219"/>
      <c r="N3219"/>
      <c r="O3219"/>
      <c r="P3219"/>
      <c r="Q3219"/>
    </row>
    <row r="3220" spans="1:33" ht="14.25" x14ac:dyDescent="0.2">
      <c r="A3220" s="31"/>
      <c r="B3220" s="31"/>
      <c r="C3220" s="31" t="s">
        <v>37</v>
      </c>
      <c r="D3220" s="32"/>
      <c r="E3220" s="4"/>
      <c r="F3220" s="33">
        <f>[1]Source!AN3433</f>
        <v>191.92</v>
      </c>
      <c r="G3220" s="34" t="str">
        <f>[1]Source!DF3433</f>
        <v>)*2*90</v>
      </c>
      <c r="H3220" s="4">
        <f>[1]Source!AV3433</f>
        <v>1</v>
      </c>
      <c r="I3220" s="4">
        <f>IF([1]Source!BS3433&lt;&gt; 0, [1]Source!BS3433, 1)</f>
        <v>1</v>
      </c>
      <c r="J3220" s="41">
        <f>[1]Source!R3433</f>
        <v>65260.09</v>
      </c>
      <c r="K3220" s="33"/>
      <c r="M3220"/>
      <c r="N3220"/>
      <c r="O3220"/>
      <c r="P3220"/>
      <c r="Q3220"/>
    </row>
    <row r="3221" spans="1:33" ht="14.25" x14ac:dyDescent="0.2">
      <c r="A3221" s="31"/>
      <c r="B3221" s="31"/>
      <c r="C3221" s="31" t="s">
        <v>47</v>
      </c>
      <c r="D3221" s="32"/>
      <c r="E3221" s="4"/>
      <c r="F3221" s="33">
        <f>[1]Source!AL3433</f>
        <v>14.85</v>
      </c>
      <c r="G3221" s="34" t="str">
        <f>[1]Source!DD3433</f>
        <v>)*2*90</v>
      </c>
      <c r="H3221" s="4">
        <f>[1]Source!AW3433</f>
        <v>1</v>
      </c>
      <c r="I3221" s="4">
        <f>IF([1]Source!BC3433&lt;&gt; 0, [1]Source!BC3433, 1)</f>
        <v>1</v>
      </c>
      <c r="J3221" s="33">
        <f>[1]Source!P3433</f>
        <v>5049.5600000000004</v>
      </c>
      <c r="K3221" s="33"/>
      <c r="M3221"/>
      <c r="N3221"/>
      <c r="O3221"/>
      <c r="P3221"/>
      <c r="Q3221"/>
    </row>
    <row r="3222" spans="1:33" ht="14.25" x14ac:dyDescent="0.2">
      <c r="A3222" s="31" t="s">
        <v>155</v>
      </c>
      <c r="B3222" s="31" t="str">
        <f>[1]Source!F3434</f>
        <v>21.1-25-13</v>
      </c>
      <c r="C3222" s="31" t="str">
        <f>[1]Source!G3434</f>
        <v>Вода</v>
      </c>
      <c r="D3222" s="32" t="str">
        <f>[1]Source!H3434</f>
        <v>м3</v>
      </c>
      <c r="E3222" s="4">
        <f>[1]Source!I3434</f>
        <v>-119.0133</v>
      </c>
      <c r="F3222" s="33">
        <f>[1]Source!AK3434</f>
        <v>42.44</v>
      </c>
      <c r="G3222" s="39" t="s">
        <v>104</v>
      </c>
      <c r="H3222" s="4">
        <f>[1]Source!AW3434</f>
        <v>1</v>
      </c>
      <c r="I3222" s="4">
        <f>IF([1]Source!BC3434&lt;&gt; 0, [1]Source!BC3434, 1)</f>
        <v>1</v>
      </c>
      <c r="J3222" s="33">
        <f>[1]Source!O3434</f>
        <v>-5050.92</v>
      </c>
      <c r="K3222" s="33"/>
      <c r="M3222"/>
      <c r="N3222"/>
      <c r="O3222"/>
      <c r="P3222"/>
      <c r="Q3222"/>
      <c r="AB3222">
        <f>ROUND(([1]Source!BZ3434/100)*ROUND(([1]Source!AF3434*[1]Source!AV3434)*[1]Source!I3434, 2), 2)</f>
        <v>0</v>
      </c>
      <c r="AC3222">
        <f>[1]Source!X3434</f>
        <v>0</v>
      </c>
      <c r="AD3222">
        <f>ROUND(([1]Source!CA3434/100)*ROUND(([1]Source!AF3434*[1]Source!AV3434)*[1]Source!I3434, 2), 2)</f>
        <v>0</v>
      </c>
      <c r="AE3222">
        <f>[1]Source!Y3434</f>
        <v>0</v>
      </c>
      <c r="AF3222">
        <f>ROUND((175/100)*ROUND(([1]Source!AE3434*[1]Source!AV3434)*[1]Source!I3434, 2), 2)</f>
        <v>0</v>
      </c>
      <c r="AG3222">
        <f>ROUND((108/100)*ROUND([1]Source!CS3434*[1]Source!I3434, 2), 2)</f>
        <v>0</v>
      </c>
    </row>
    <row r="3223" spans="1:33" ht="14.25" x14ac:dyDescent="0.2">
      <c r="A3223" s="31"/>
      <c r="B3223" s="31"/>
      <c r="C3223" s="31" t="s">
        <v>38</v>
      </c>
      <c r="D3223" s="32" t="s">
        <v>39</v>
      </c>
      <c r="E3223" s="4">
        <f>108</f>
        <v>108</v>
      </c>
      <c r="F3223" s="33"/>
      <c r="G3223" s="34"/>
      <c r="H3223" s="4"/>
      <c r="I3223" s="4"/>
      <c r="J3223" s="33">
        <f>SUM(AG3217:AG3222)</f>
        <v>70480.899999999994</v>
      </c>
      <c r="K3223" s="33"/>
      <c r="M3223"/>
      <c r="N3223"/>
      <c r="O3223"/>
      <c r="P3223"/>
      <c r="Q3223"/>
    </row>
    <row r="3224" spans="1:33" ht="15" x14ac:dyDescent="0.25">
      <c r="A3224" s="35"/>
      <c r="B3224" s="35"/>
      <c r="C3224" s="35"/>
      <c r="D3224" s="35"/>
      <c r="E3224" s="35"/>
      <c r="F3224" s="35"/>
      <c r="G3224" s="35"/>
      <c r="H3224" s="35"/>
      <c r="I3224" s="36">
        <f>J3219+J3221+J3223+SUM(J3222:J3222)</f>
        <v>230191.99</v>
      </c>
      <c r="J3224" s="36"/>
      <c r="K3224" s="37">
        <f>IF([1]Source!I3433&lt;&gt;0, ROUND(I3224/[1]Source!I3433, 2), 0)</f>
        <v>121852.73</v>
      </c>
      <c r="M3224"/>
      <c r="N3224"/>
      <c r="O3224"/>
      <c r="P3224"/>
      <c r="Q3224"/>
      <c r="AA3224" s="38">
        <f>I3224</f>
        <v>230191.99</v>
      </c>
    </row>
    <row r="3225" spans="1:33" x14ac:dyDescent="0.2">
      <c r="M3225"/>
      <c r="N3225"/>
      <c r="O3225"/>
      <c r="P3225"/>
      <c r="Q3225"/>
    </row>
    <row r="3226" spans="1:33" ht="15" x14ac:dyDescent="0.25">
      <c r="A3226" s="42" t="str">
        <f>CONCATENATE("Итого по подразделу: ",IF([1]Source!G3436&lt;&gt;"Новый подраздел", [1]Source!G3436, ""))</f>
        <v>Итого по подразделу: Содержание твердых покрытий ( S=1889,1 м2</v>
      </c>
      <c r="B3226" s="42"/>
      <c r="C3226" s="42"/>
      <c r="D3226" s="42"/>
      <c r="E3226" s="42"/>
      <c r="F3226" s="42"/>
      <c r="G3226" s="42"/>
      <c r="H3226" s="42"/>
      <c r="I3226" s="43">
        <f>SUM(AA3186:AA3225)</f>
        <v>1427807.67</v>
      </c>
      <c r="J3226" s="44"/>
      <c r="K3226" s="47"/>
      <c r="L3226" s="38">
        <f>I3226</f>
        <v>1427807.67</v>
      </c>
      <c r="M3226" s="2">
        <f>ROUND(I3226*$I$4874,2)</f>
        <v>1031172.48</v>
      </c>
      <c r="N3226" s="2">
        <f>ROUND(M3226*1.2/105*100,2)</f>
        <v>1178482.83</v>
      </c>
      <c r="O3226" s="2">
        <f>ROUND(N3226*0.05,2)</f>
        <v>58924.14</v>
      </c>
      <c r="P3226" s="2">
        <f>N3226+O3226</f>
        <v>1237406.97</v>
      </c>
      <c r="Q3226" s="3">
        <v>94</v>
      </c>
      <c r="S3226" s="2">
        <v>0</v>
      </c>
    </row>
    <row r="3227" spans="1:33" x14ac:dyDescent="0.2">
      <c r="M3227"/>
      <c r="N3227"/>
      <c r="O3227"/>
      <c r="P3227"/>
      <c r="Q3227"/>
    </row>
    <row r="3228" spans="1:33" x14ac:dyDescent="0.2">
      <c r="M3228"/>
      <c r="N3228"/>
      <c r="O3228"/>
      <c r="P3228"/>
      <c r="Q3228"/>
    </row>
    <row r="3229" spans="1:33" ht="16.5" x14ac:dyDescent="0.25">
      <c r="A3229" s="29" t="str">
        <f>CONCATENATE("Подраздел: ",IF([1]Source!G3466&lt;&gt;"Новый подраздел", [1]Source!G3466, ""))</f>
        <v>Подраздел: Уход за подпорными стенками ( S=506,82 м2)</v>
      </c>
      <c r="B3229" s="29"/>
      <c r="C3229" s="29"/>
      <c r="D3229" s="29"/>
      <c r="E3229" s="29"/>
      <c r="F3229" s="29"/>
      <c r="G3229" s="29"/>
      <c r="H3229" s="29"/>
      <c r="I3229" s="29"/>
      <c r="J3229" s="29"/>
      <c r="K3229" s="29"/>
      <c r="M3229"/>
      <c r="N3229"/>
      <c r="O3229"/>
      <c r="P3229"/>
      <c r="Q3229"/>
    </row>
    <row r="3230" spans="1:33" ht="42.75" x14ac:dyDescent="0.2">
      <c r="A3230" s="31">
        <v>416</v>
      </c>
      <c r="B3230" s="31" t="str">
        <f>[1]Source!F3470</f>
        <v>5.3-1101-5-1/1</v>
      </c>
      <c r="C3230" s="31" t="str">
        <f>[1]Source!G3470</f>
        <v>Промывка оград железобетонных от пыли и грязи водой под напором( подпорные гранитные стенки)( прим.)</v>
      </c>
      <c r="D3230" s="32" t="str">
        <f>[1]Source!H3470</f>
        <v>100 м2</v>
      </c>
      <c r="E3230" s="4">
        <f>[1]Source!I3470</f>
        <v>5.0682</v>
      </c>
      <c r="F3230" s="33"/>
      <c r="G3230" s="34"/>
      <c r="H3230" s="4"/>
      <c r="I3230" s="4"/>
      <c r="J3230" s="33"/>
      <c r="K3230" s="33"/>
      <c r="M3230"/>
      <c r="N3230"/>
      <c r="O3230"/>
      <c r="P3230"/>
      <c r="Q3230"/>
      <c r="AB3230">
        <f>ROUND(([1]Source!BZ3470/100)*ROUND(([1]Source!AF3470*[1]Source!AV3470)*[1]Source!I3470, 2), 2)</f>
        <v>3623.94</v>
      </c>
      <c r="AC3230">
        <f>[1]Source!X3470</f>
        <v>3623.94</v>
      </c>
      <c r="AD3230">
        <f>ROUND(([1]Source!CA3470/100)*ROUND(([1]Source!AF3470*[1]Source!AV3470)*[1]Source!I3470, 2), 2)</f>
        <v>517.71</v>
      </c>
      <c r="AE3230">
        <f>[1]Source!Y3470</f>
        <v>517.71</v>
      </c>
      <c r="AF3230">
        <f>ROUND((175/100)*ROUND(([1]Source!AE3470*[1]Source!AV3470)*[1]Source!I3470, 2), 2)</f>
        <v>21665.7</v>
      </c>
      <c r="AG3230">
        <f>ROUND((108/100)*ROUND([1]Source!CS3470*[1]Source!I3470, 2), 2)</f>
        <v>13370.83</v>
      </c>
    </row>
    <row r="3231" spans="1:33" x14ac:dyDescent="0.2">
      <c r="C3231" s="40" t="str">
        <f>"Объем: "&amp;[1]Source!I3470&amp;"=506,82/"&amp;"100"</f>
        <v>Объем: 5,0682=506,82/100</v>
      </c>
      <c r="M3231"/>
      <c r="N3231"/>
      <c r="O3231"/>
      <c r="P3231"/>
      <c r="Q3231"/>
    </row>
    <row r="3232" spans="1:33" ht="14.25" x14ac:dyDescent="0.2">
      <c r="A3232" s="31"/>
      <c r="B3232" s="31"/>
      <c r="C3232" s="31" t="s">
        <v>34</v>
      </c>
      <c r="D3232" s="32"/>
      <c r="E3232" s="4"/>
      <c r="F3232" s="33">
        <f>[1]Source!AO3470</f>
        <v>255.37</v>
      </c>
      <c r="G3232" s="34" t="str">
        <f>[1]Source!DG3470</f>
        <v>)*1*4</v>
      </c>
      <c r="H3232" s="4">
        <f>[1]Source!AV3470</f>
        <v>1</v>
      </c>
      <c r="I3232" s="4">
        <f>IF([1]Source!BA3470&lt;&gt; 0, [1]Source!BA3470, 1)</f>
        <v>1</v>
      </c>
      <c r="J3232" s="33">
        <f>[1]Source!S3470</f>
        <v>5177.0600000000004</v>
      </c>
      <c r="K3232" s="33"/>
      <c r="M3232"/>
      <c r="N3232"/>
      <c r="O3232"/>
      <c r="P3232"/>
      <c r="Q3232"/>
    </row>
    <row r="3233" spans="1:33" ht="14.25" x14ac:dyDescent="0.2">
      <c r="A3233" s="31"/>
      <c r="B3233" s="31"/>
      <c r="C3233" s="31" t="s">
        <v>33</v>
      </c>
      <c r="D3233" s="32"/>
      <c r="E3233" s="4"/>
      <c r="F3233" s="33">
        <f>[1]Source!AM3470</f>
        <v>1655.86</v>
      </c>
      <c r="G3233" s="34" t="str">
        <f>[1]Source!DE3470</f>
        <v>)*1*4</v>
      </c>
      <c r="H3233" s="4">
        <f>[1]Source!AV3470</f>
        <v>1</v>
      </c>
      <c r="I3233" s="4">
        <f>IF([1]Source!BB3470&lt;&gt; 0, [1]Source!BB3470, 1)</f>
        <v>1</v>
      </c>
      <c r="J3233" s="33">
        <f>[1]Source!Q3470</f>
        <v>33568.92</v>
      </c>
      <c r="K3233" s="33"/>
      <c r="M3233"/>
      <c r="N3233"/>
      <c r="O3233"/>
      <c r="P3233"/>
      <c r="Q3233"/>
    </row>
    <row r="3234" spans="1:33" ht="14.25" x14ac:dyDescent="0.2">
      <c r="A3234" s="31"/>
      <c r="B3234" s="31"/>
      <c r="C3234" s="31" t="s">
        <v>37</v>
      </c>
      <c r="D3234" s="32"/>
      <c r="E3234" s="4"/>
      <c r="F3234" s="33">
        <f>[1]Source!AN3470</f>
        <v>610.69000000000005</v>
      </c>
      <c r="G3234" s="34" t="str">
        <f>[1]Source!DF3470</f>
        <v>)*1*4</v>
      </c>
      <c r="H3234" s="4">
        <f>[1]Source!AV3470</f>
        <v>1</v>
      </c>
      <c r="I3234" s="4">
        <f>IF([1]Source!BS3470&lt;&gt; 0, [1]Source!BS3470, 1)</f>
        <v>1</v>
      </c>
      <c r="J3234" s="41">
        <f>[1]Source!R3470</f>
        <v>12380.4</v>
      </c>
      <c r="K3234" s="33"/>
      <c r="M3234"/>
      <c r="N3234"/>
      <c r="O3234"/>
      <c r="P3234"/>
      <c r="Q3234"/>
    </row>
    <row r="3235" spans="1:33" ht="14.25" x14ac:dyDescent="0.2">
      <c r="A3235" s="31"/>
      <c r="B3235" s="31"/>
      <c r="C3235" s="31" t="s">
        <v>47</v>
      </c>
      <c r="D3235" s="32"/>
      <c r="E3235" s="4"/>
      <c r="F3235" s="33">
        <f>[1]Source!AL3470</f>
        <v>25.46</v>
      </c>
      <c r="G3235" s="34" t="str">
        <f>[1]Source!DD3470</f>
        <v>)*1*4</v>
      </c>
      <c r="H3235" s="4">
        <f>[1]Source!AW3470</f>
        <v>1</v>
      </c>
      <c r="I3235" s="4">
        <f>IF([1]Source!BC3470&lt;&gt; 0, [1]Source!BC3470, 1)</f>
        <v>1</v>
      </c>
      <c r="J3235" s="33">
        <f>[1]Source!P3470</f>
        <v>516.15</v>
      </c>
      <c r="K3235" s="33"/>
      <c r="M3235"/>
      <c r="N3235"/>
      <c r="O3235"/>
      <c r="P3235"/>
      <c r="Q3235"/>
    </row>
    <row r="3236" spans="1:33" ht="14.25" x14ac:dyDescent="0.2">
      <c r="A3236" s="31" t="s">
        <v>156</v>
      </c>
      <c r="B3236" s="31" t="str">
        <f>[1]Source!F3471</f>
        <v>21.1-25-13</v>
      </c>
      <c r="C3236" s="31" t="str">
        <f>[1]Source!G3471</f>
        <v>Вода</v>
      </c>
      <c r="D3236" s="32" t="str">
        <f>[1]Source!H3471</f>
        <v>м3</v>
      </c>
      <c r="E3236" s="4">
        <f>[1]Source!I3471</f>
        <v>-12.163679999999999</v>
      </c>
      <c r="F3236" s="33">
        <f>[1]Source!AK3471</f>
        <v>42.44</v>
      </c>
      <c r="G3236" s="39" t="s">
        <v>127</v>
      </c>
      <c r="H3236" s="4">
        <f>[1]Source!AW3471</f>
        <v>1</v>
      </c>
      <c r="I3236" s="4">
        <f>IF([1]Source!BC3471&lt;&gt; 0, [1]Source!BC3471, 1)</f>
        <v>1</v>
      </c>
      <c r="J3236" s="33">
        <f>[1]Source!O3471</f>
        <v>-516.23</v>
      </c>
      <c r="K3236" s="33"/>
      <c r="M3236"/>
      <c r="N3236"/>
      <c r="O3236"/>
      <c r="P3236"/>
      <c r="Q3236"/>
      <c r="AB3236">
        <f>ROUND(([1]Source!BZ3471/100)*ROUND(([1]Source!AF3471*[1]Source!AV3471)*[1]Source!I3471, 2), 2)</f>
        <v>0</v>
      </c>
      <c r="AC3236">
        <f>[1]Source!X3471</f>
        <v>0</v>
      </c>
      <c r="AD3236">
        <f>ROUND(([1]Source!CA3471/100)*ROUND(([1]Source!AF3471*[1]Source!AV3471)*[1]Source!I3471, 2), 2)</f>
        <v>0</v>
      </c>
      <c r="AE3236">
        <f>[1]Source!Y3471</f>
        <v>0</v>
      </c>
      <c r="AF3236">
        <f>ROUND((175/100)*ROUND(([1]Source!AE3471*[1]Source!AV3471)*[1]Source!I3471, 2), 2)</f>
        <v>0</v>
      </c>
      <c r="AG3236">
        <f>ROUND((108/100)*ROUND([1]Source!CS3471*[1]Source!I3471, 2), 2)</f>
        <v>0</v>
      </c>
    </row>
    <row r="3237" spans="1:33" ht="14.25" x14ac:dyDescent="0.2">
      <c r="A3237" s="31"/>
      <c r="B3237" s="31"/>
      <c r="C3237" s="31" t="s">
        <v>40</v>
      </c>
      <c r="D3237" s="32" t="s">
        <v>39</v>
      </c>
      <c r="E3237" s="4">
        <f>[1]Source!AT3470</f>
        <v>70</v>
      </c>
      <c r="F3237" s="33"/>
      <c r="G3237" s="34"/>
      <c r="H3237" s="4"/>
      <c r="I3237" s="4"/>
      <c r="J3237" s="33">
        <f>SUM(AC3230:AC3236)</f>
        <v>3623.94</v>
      </c>
      <c r="K3237" s="33"/>
      <c r="M3237"/>
      <c r="N3237"/>
      <c r="O3237"/>
      <c r="P3237"/>
      <c r="Q3237"/>
    </row>
    <row r="3238" spans="1:33" ht="14.25" x14ac:dyDescent="0.2">
      <c r="A3238" s="31"/>
      <c r="B3238" s="31"/>
      <c r="C3238" s="31" t="s">
        <v>41</v>
      </c>
      <c r="D3238" s="32" t="s">
        <v>39</v>
      </c>
      <c r="E3238" s="4">
        <f>[1]Source!AU3470</f>
        <v>10</v>
      </c>
      <c r="F3238" s="33"/>
      <c r="G3238" s="34"/>
      <c r="H3238" s="4"/>
      <c r="I3238" s="4"/>
      <c r="J3238" s="33">
        <f>SUM(AE3230:AE3237)</f>
        <v>517.71</v>
      </c>
      <c r="K3238" s="33"/>
      <c r="M3238"/>
      <c r="N3238"/>
      <c r="O3238"/>
      <c r="P3238"/>
      <c r="Q3238"/>
    </row>
    <row r="3239" spans="1:33" ht="14.25" x14ac:dyDescent="0.2">
      <c r="A3239" s="31"/>
      <c r="B3239" s="31"/>
      <c r="C3239" s="31" t="s">
        <v>38</v>
      </c>
      <c r="D3239" s="32" t="s">
        <v>39</v>
      </c>
      <c r="E3239" s="4">
        <f>108</f>
        <v>108</v>
      </c>
      <c r="F3239" s="33"/>
      <c r="G3239" s="34"/>
      <c r="H3239" s="4"/>
      <c r="I3239" s="4"/>
      <c r="J3239" s="33">
        <f>SUM(AG3230:AG3238)</f>
        <v>13370.83</v>
      </c>
      <c r="K3239" s="33"/>
      <c r="M3239"/>
      <c r="N3239"/>
      <c r="O3239"/>
      <c r="P3239"/>
      <c r="Q3239"/>
    </row>
    <row r="3240" spans="1:33" ht="14.25" x14ac:dyDescent="0.2">
      <c r="A3240" s="31"/>
      <c r="B3240" s="31"/>
      <c r="C3240" s="31" t="s">
        <v>42</v>
      </c>
      <c r="D3240" s="32" t="s">
        <v>43</v>
      </c>
      <c r="E3240" s="4">
        <f>[1]Source!AQ3470</f>
        <v>1.03</v>
      </c>
      <c r="F3240" s="33"/>
      <c r="G3240" s="34" t="str">
        <f>[1]Source!DI3470</f>
        <v>)*1*4</v>
      </c>
      <c r="H3240" s="4">
        <f>[1]Source!AV3470</f>
        <v>1</v>
      </c>
      <c r="I3240" s="4"/>
      <c r="J3240" s="33"/>
      <c r="K3240" s="33">
        <f>[1]Source!U3470</f>
        <v>20.880984000000002</v>
      </c>
      <c r="M3240"/>
      <c r="N3240"/>
      <c r="O3240"/>
      <c r="P3240"/>
      <c r="Q3240"/>
    </row>
    <row r="3241" spans="1:33" ht="15" x14ac:dyDescent="0.25">
      <c r="A3241" s="35"/>
      <c r="B3241" s="35"/>
      <c r="C3241" s="35"/>
      <c r="D3241" s="35"/>
      <c r="E3241" s="35"/>
      <c r="F3241" s="35"/>
      <c r="G3241" s="35"/>
      <c r="H3241" s="35"/>
      <c r="I3241" s="36">
        <f>J3232+J3233+J3235+J3237+J3238+J3239+SUM(J3236:J3236)</f>
        <v>56258.38</v>
      </c>
      <c r="J3241" s="36"/>
      <c r="K3241" s="37">
        <f>IF([1]Source!I3470&lt;&gt;0, ROUND(I3241/[1]Source!I3470, 2), 0)</f>
        <v>11100.27</v>
      </c>
      <c r="M3241"/>
      <c r="N3241"/>
      <c r="O3241"/>
      <c r="P3241"/>
      <c r="Q3241"/>
      <c r="AA3241" s="38">
        <f>I3241</f>
        <v>56258.38</v>
      </c>
    </row>
    <row r="3242" spans="1:33" ht="42.75" x14ac:dyDescent="0.2">
      <c r="A3242" s="31">
        <v>417</v>
      </c>
      <c r="B3242" s="31" t="str">
        <f>[1]Source!F3472</f>
        <v>5.3-1101-7-1/1</v>
      </c>
      <c r="C3242" s="31" t="str">
        <f>[1]Source!G3472</f>
        <v>Протирка оград железобетонных от пыли и грязи( подпорные гранитные стенки)(прим.)</v>
      </c>
      <c r="D3242" s="32" t="str">
        <f>[1]Source!H3472</f>
        <v>100 м2</v>
      </c>
      <c r="E3242" s="4">
        <f>[1]Source!I3472</f>
        <v>5.0682</v>
      </c>
      <c r="F3242" s="33"/>
      <c r="G3242" s="34"/>
      <c r="H3242" s="4"/>
      <c r="I3242" s="4"/>
      <c r="J3242" s="33"/>
      <c r="K3242" s="33"/>
      <c r="M3242"/>
      <c r="N3242"/>
      <c r="O3242"/>
      <c r="P3242"/>
      <c r="Q3242"/>
      <c r="AB3242">
        <f>ROUND(([1]Source!BZ3472/100)*ROUND(([1]Source!AF3472*[1]Source!AV3472)*[1]Source!I3472, 2), 2)</f>
        <v>63770.27</v>
      </c>
      <c r="AC3242">
        <f>[1]Source!X3472</f>
        <v>63770.27</v>
      </c>
      <c r="AD3242">
        <f>ROUND(([1]Source!CA3472/100)*ROUND(([1]Source!AF3472*[1]Source!AV3472)*[1]Source!I3472, 2), 2)</f>
        <v>9110.0400000000009</v>
      </c>
      <c r="AE3242">
        <f>[1]Source!Y3472</f>
        <v>9110.0400000000009</v>
      </c>
      <c r="AF3242">
        <f>ROUND((175/100)*ROUND(([1]Source!AE3472*[1]Source!AV3472)*[1]Source!I3472, 2), 2)</f>
        <v>0</v>
      </c>
      <c r="AG3242">
        <f>ROUND((108/100)*ROUND([1]Source!CS3472*[1]Source!I3472, 2), 2)</f>
        <v>0</v>
      </c>
    </row>
    <row r="3243" spans="1:33" x14ac:dyDescent="0.2">
      <c r="C3243" s="40" t="str">
        <f>"Объем: "&amp;[1]Source!I3472&amp;"=506,82/"&amp;"100"</f>
        <v>Объем: 5,0682=506,82/100</v>
      </c>
      <c r="M3243"/>
      <c r="N3243"/>
      <c r="O3243"/>
      <c r="P3243"/>
      <c r="Q3243"/>
    </row>
    <row r="3244" spans="1:33" ht="14.25" x14ac:dyDescent="0.2">
      <c r="A3244" s="31"/>
      <c r="B3244" s="31"/>
      <c r="C3244" s="31" t="s">
        <v>34</v>
      </c>
      <c r="D3244" s="32"/>
      <c r="E3244" s="4"/>
      <c r="F3244" s="33">
        <f>[1]Source!AO3472</f>
        <v>1797.49</v>
      </c>
      <c r="G3244" s="34" t="str">
        <f>[1]Source!DG3472</f>
        <v>)*1*10</v>
      </c>
      <c r="H3244" s="4">
        <f>[1]Source!AV3472</f>
        <v>1</v>
      </c>
      <c r="I3244" s="4">
        <f>IF([1]Source!BA3472&lt;&gt; 0, [1]Source!BA3472, 1)</f>
        <v>1</v>
      </c>
      <c r="J3244" s="33">
        <f>[1]Source!S3472</f>
        <v>91100.39</v>
      </c>
      <c r="K3244" s="33"/>
      <c r="M3244"/>
      <c r="N3244"/>
      <c r="O3244"/>
      <c r="P3244"/>
      <c r="Q3244"/>
    </row>
    <row r="3245" spans="1:33" ht="14.25" x14ac:dyDescent="0.2">
      <c r="A3245" s="31"/>
      <c r="B3245" s="31"/>
      <c r="C3245" s="31" t="s">
        <v>47</v>
      </c>
      <c r="D3245" s="32"/>
      <c r="E3245" s="4"/>
      <c r="F3245" s="33">
        <f>[1]Source!AL3472</f>
        <v>5.42</v>
      </c>
      <c r="G3245" s="34" t="str">
        <f>[1]Source!DD3472</f>
        <v>)*1*10</v>
      </c>
      <c r="H3245" s="4">
        <f>[1]Source!AW3472</f>
        <v>1</v>
      </c>
      <c r="I3245" s="4">
        <f>IF([1]Source!BC3472&lt;&gt; 0, [1]Source!BC3472, 1)</f>
        <v>1</v>
      </c>
      <c r="J3245" s="33">
        <f>[1]Source!P3472</f>
        <v>274.7</v>
      </c>
      <c r="K3245" s="33"/>
      <c r="M3245"/>
      <c r="N3245"/>
      <c r="O3245"/>
      <c r="P3245"/>
      <c r="Q3245"/>
    </row>
    <row r="3246" spans="1:33" ht="14.25" x14ac:dyDescent="0.2">
      <c r="A3246" s="31" t="s">
        <v>157</v>
      </c>
      <c r="B3246" s="31" t="str">
        <f>[1]Source!F3473</f>
        <v>21.1-25-13</v>
      </c>
      <c r="C3246" s="31" t="str">
        <f>[1]Source!G3473</f>
        <v>Вода</v>
      </c>
      <c r="D3246" s="32" t="str">
        <f>[1]Source!H3473</f>
        <v>м3</v>
      </c>
      <c r="E3246" s="4">
        <f>[1]Source!I3473</f>
        <v>-1.0136400000000001</v>
      </c>
      <c r="F3246" s="33">
        <f>[1]Source!AK3473</f>
        <v>42.44</v>
      </c>
      <c r="G3246" s="39" t="s">
        <v>158</v>
      </c>
      <c r="H3246" s="4">
        <f>[1]Source!AW3473</f>
        <v>1</v>
      </c>
      <c r="I3246" s="4">
        <f>IF([1]Source!BC3473&lt;&gt; 0, [1]Source!BC3473, 1)</f>
        <v>1</v>
      </c>
      <c r="J3246" s="33">
        <f>[1]Source!O3473</f>
        <v>-43.02</v>
      </c>
      <c r="K3246" s="33"/>
      <c r="M3246"/>
      <c r="N3246"/>
      <c r="O3246"/>
      <c r="P3246"/>
      <c r="Q3246"/>
      <c r="AB3246">
        <f>ROUND(([1]Source!BZ3473/100)*ROUND(([1]Source!AF3473*[1]Source!AV3473)*[1]Source!I3473, 2), 2)</f>
        <v>0</v>
      </c>
      <c r="AC3246">
        <f>[1]Source!X3473</f>
        <v>0</v>
      </c>
      <c r="AD3246">
        <f>ROUND(([1]Source!CA3473/100)*ROUND(([1]Source!AF3473*[1]Source!AV3473)*[1]Source!I3473, 2), 2)</f>
        <v>0</v>
      </c>
      <c r="AE3246">
        <f>[1]Source!Y3473</f>
        <v>0</v>
      </c>
      <c r="AF3246">
        <f>ROUND((175/100)*ROUND(([1]Source!AE3473*[1]Source!AV3473)*[1]Source!I3473, 2), 2)</f>
        <v>0</v>
      </c>
      <c r="AG3246">
        <f>ROUND((108/100)*ROUND([1]Source!CS3473*[1]Source!I3473, 2), 2)</f>
        <v>0</v>
      </c>
    </row>
    <row r="3247" spans="1:33" ht="14.25" x14ac:dyDescent="0.2">
      <c r="A3247" s="31"/>
      <c r="B3247" s="31"/>
      <c r="C3247" s="31" t="s">
        <v>40</v>
      </c>
      <c r="D3247" s="32" t="s">
        <v>39</v>
      </c>
      <c r="E3247" s="4">
        <f>[1]Source!AT3472</f>
        <v>70</v>
      </c>
      <c r="F3247" s="33"/>
      <c r="G3247" s="34"/>
      <c r="H3247" s="4"/>
      <c r="I3247" s="4"/>
      <c r="J3247" s="33">
        <f>SUM(AC3242:AC3246)</f>
        <v>63770.27</v>
      </c>
      <c r="K3247" s="33"/>
      <c r="M3247"/>
      <c r="N3247"/>
      <c r="O3247"/>
      <c r="P3247"/>
      <c r="Q3247"/>
    </row>
    <row r="3248" spans="1:33" ht="14.25" x14ac:dyDescent="0.2">
      <c r="A3248" s="31"/>
      <c r="B3248" s="31"/>
      <c r="C3248" s="31" t="s">
        <v>41</v>
      </c>
      <c r="D3248" s="32" t="s">
        <v>39</v>
      </c>
      <c r="E3248" s="4">
        <f>[1]Source!AU3472</f>
        <v>10</v>
      </c>
      <c r="F3248" s="33"/>
      <c r="G3248" s="34"/>
      <c r="H3248" s="4"/>
      <c r="I3248" s="4"/>
      <c r="J3248" s="33">
        <f>SUM(AE3242:AE3247)</f>
        <v>9110.0400000000009</v>
      </c>
      <c r="K3248" s="33"/>
      <c r="M3248"/>
      <c r="N3248"/>
      <c r="O3248"/>
      <c r="P3248"/>
      <c r="Q3248"/>
    </row>
    <row r="3249" spans="1:43" ht="14.25" x14ac:dyDescent="0.2">
      <c r="A3249" s="31"/>
      <c r="B3249" s="31"/>
      <c r="C3249" s="31" t="s">
        <v>42</v>
      </c>
      <c r="D3249" s="32" t="s">
        <v>43</v>
      </c>
      <c r="E3249" s="4">
        <f>[1]Source!AQ3472</f>
        <v>7.25</v>
      </c>
      <c r="F3249" s="33"/>
      <c r="G3249" s="34" t="str">
        <f>[1]Source!DI3472</f>
        <v>)*1*10</v>
      </c>
      <c r="H3249" s="4">
        <f>[1]Source!AV3472</f>
        <v>1</v>
      </c>
      <c r="I3249" s="4"/>
      <c r="J3249" s="33"/>
      <c r="K3249" s="33">
        <f>[1]Source!U3472</f>
        <v>367.44450000000001</v>
      </c>
      <c r="M3249"/>
      <c r="N3249"/>
      <c r="O3249"/>
      <c r="P3249"/>
      <c r="Q3249"/>
    </row>
    <row r="3250" spans="1:43" ht="15" x14ac:dyDescent="0.25">
      <c r="A3250" s="35"/>
      <c r="B3250" s="35"/>
      <c r="C3250" s="35"/>
      <c r="D3250" s="35"/>
      <c r="E3250" s="35"/>
      <c r="F3250" s="35"/>
      <c r="G3250" s="35"/>
      <c r="H3250" s="35"/>
      <c r="I3250" s="36">
        <f>J3244+J3245+J3247+J3248+SUM(J3246:J3246)</f>
        <v>164212.38</v>
      </c>
      <c r="J3250" s="36"/>
      <c r="K3250" s="37">
        <f>IF([1]Source!I3472&lt;&gt;0, ROUND(I3250/[1]Source!I3472, 2), 0)</f>
        <v>32400.53</v>
      </c>
      <c r="M3250"/>
      <c r="N3250"/>
      <c r="O3250"/>
      <c r="P3250"/>
      <c r="Q3250"/>
      <c r="AA3250" s="38">
        <f>I3250</f>
        <v>164212.38</v>
      </c>
    </row>
    <row r="3251" spans="1:43" x14ac:dyDescent="0.2">
      <c r="M3251"/>
      <c r="N3251"/>
      <c r="O3251"/>
      <c r="P3251"/>
      <c r="Q3251"/>
    </row>
    <row r="3252" spans="1:43" ht="15" x14ac:dyDescent="0.25">
      <c r="A3252" s="42" t="str">
        <f>CONCATENATE("Итого по подразделу: ",IF([1]Source!G3475&lt;&gt;"Новый подраздел", [1]Source!G3475, ""))</f>
        <v>Итого по подразделу: Уход за подпорными стенками ( S=506,82 м2)</v>
      </c>
      <c r="B3252" s="42"/>
      <c r="C3252" s="42"/>
      <c r="D3252" s="42"/>
      <c r="E3252" s="42"/>
      <c r="F3252" s="42"/>
      <c r="G3252" s="42"/>
      <c r="H3252" s="42"/>
      <c r="I3252" s="43">
        <f>SUM(AA3229:AA3251)</f>
        <v>220470.76</v>
      </c>
      <c r="J3252" s="44"/>
      <c r="K3252" s="47"/>
      <c r="L3252" s="38">
        <f>I3252</f>
        <v>220470.76</v>
      </c>
      <c r="M3252" s="2">
        <f>ROUND(I3252*$I$4874,2)</f>
        <v>159225.49</v>
      </c>
      <c r="N3252" s="2">
        <f>ROUND(M3252*1.2/105*100,2)</f>
        <v>181971.99</v>
      </c>
      <c r="O3252" s="2">
        <f>ROUND(N3252*0.05,2)</f>
        <v>9098.6</v>
      </c>
      <c r="P3252" s="2">
        <f>N3252+O3252</f>
        <v>191070.59</v>
      </c>
      <c r="Q3252" s="3">
        <v>95</v>
      </c>
      <c r="S3252" s="2">
        <v>0</v>
      </c>
    </row>
    <row r="3253" spans="1:43" x14ac:dyDescent="0.2">
      <c r="M3253"/>
      <c r="N3253"/>
      <c r="O3253"/>
      <c r="P3253"/>
      <c r="Q3253"/>
    </row>
    <row r="3254" spans="1:43" x14ac:dyDescent="0.2">
      <c r="M3254"/>
      <c r="N3254"/>
      <c r="O3254"/>
      <c r="P3254"/>
      <c r="Q3254"/>
    </row>
    <row r="3255" spans="1:43" ht="30" x14ac:dyDescent="0.25">
      <c r="A3255" s="42" t="str">
        <f>CONCATENATE("Итого по разделу: ",IF([1]Source!G3505&lt;&gt;"Новый раздел", [1]Source!G3505, ""))</f>
        <v>Итого по разделу: Содержание  твердых покрытий и подпорных стенок Москворецкой набережной ( S=1889,1 м2 + 506,82 м2)</v>
      </c>
      <c r="B3255" s="42"/>
      <c r="C3255" s="42"/>
      <c r="D3255" s="42"/>
      <c r="E3255" s="42"/>
      <c r="F3255" s="42"/>
      <c r="G3255" s="42"/>
      <c r="H3255" s="42"/>
      <c r="I3255" s="43">
        <f>SUM(AA3184:AA3254)</f>
        <v>1648278.4299999997</v>
      </c>
      <c r="J3255" s="44"/>
      <c r="K3255" s="47"/>
      <c r="L3255" s="38">
        <f>I3255</f>
        <v>1648278.4299999997</v>
      </c>
      <c r="M3255" s="2">
        <f>M3226+M3252</f>
        <v>1190397.97</v>
      </c>
      <c r="N3255" s="2">
        <f>N3226+N3252</f>
        <v>1360454.82</v>
      </c>
      <c r="O3255" s="2">
        <f>ROUND(N3255*0.05,2)</f>
        <v>68022.740000000005</v>
      </c>
      <c r="P3255" s="2">
        <f>SUM(P3226:P3252)</f>
        <v>1428477.56</v>
      </c>
      <c r="Q3255" s="48"/>
      <c r="R3255">
        <v>2</v>
      </c>
      <c r="AQ3255" s="46" t="str">
        <f>CONCATENATE("Итого по разделу: ",IF([1]Source!G3505&lt;&gt;"Новый раздел", [1]Source!G3505, ""))</f>
        <v>Итого по разделу: Содержание  твердых покрытий и подпорных стенок Москворецкой набережной ( S=1889,1 м2 + 506,82 м2)</v>
      </c>
    </row>
    <row r="3256" spans="1:43" x14ac:dyDescent="0.2">
      <c r="M3256"/>
      <c r="N3256"/>
      <c r="O3256"/>
      <c r="P3256"/>
      <c r="Q3256"/>
    </row>
    <row r="3257" spans="1:43" x14ac:dyDescent="0.2">
      <c r="M3257"/>
      <c r="N3257"/>
      <c r="O3257"/>
      <c r="P3257"/>
      <c r="Q3257"/>
    </row>
    <row r="3258" spans="1:43" ht="16.5" x14ac:dyDescent="0.25">
      <c r="A3258" s="29" t="str">
        <f>CONCATENATE("Раздел: ",IF([1]Source!G3535&lt;&gt;"Новый раздел", [1]Source!G3535, ""))</f>
        <v>Раздел: Уход за подпорными гранитными стенками ( S= 3271,02 м2)</v>
      </c>
      <c r="B3258" s="29"/>
      <c r="C3258" s="29"/>
      <c r="D3258" s="29"/>
      <c r="E3258" s="29"/>
      <c r="F3258" s="29"/>
      <c r="G3258" s="29"/>
      <c r="H3258" s="29"/>
      <c r="I3258" s="29"/>
      <c r="J3258" s="29"/>
      <c r="K3258" s="29"/>
      <c r="M3258"/>
      <c r="N3258"/>
      <c r="O3258"/>
      <c r="P3258"/>
      <c r="Q3258"/>
    </row>
    <row r="3259" spans="1:43" ht="42.75" x14ac:dyDescent="0.2">
      <c r="A3259" s="31">
        <v>418</v>
      </c>
      <c r="B3259" s="31" t="str">
        <f>[1]Source!F3539</f>
        <v>5.3-1101-5-1/1</v>
      </c>
      <c r="C3259" s="31" t="str">
        <f>[1]Source!G3539</f>
        <v>Промывка оград железобетонных от пыли и грязи водой под напором( подпорные гранитные стенки)( прим.)</v>
      </c>
      <c r="D3259" s="32" t="str">
        <f>[1]Source!H3539</f>
        <v>100 м2</v>
      </c>
      <c r="E3259" s="4">
        <f>[1]Source!I3539</f>
        <v>32.7102</v>
      </c>
      <c r="F3259" s="33"/>
      <c r="G3259" s="34"/>
      <c r="H3259" s="4"/>
      <c r="I3259" s="4"/>
      <c r="J3259" s="33"/>
      <c r="K3259" s="33"/>
      <c r="M3259"/>
      <c r="N3259"/>
      <c r="O3259"/>
      <c r="P3259"/>
      <c r="Q3259"/>
      <c r="AB3259">
        <f>ROUND(([1]Source!BZ3539/100)*ROUND(([1]Source!AF3539*[1]Source!AV3539)*[1]Source!I3539, 2), 2)</f>
        <v>23388.97</v>
      </c>
      <c r="AC3259">
        <f>[1]Source!X3539</f>
        <v>23388.97</v>
      </c>
      <c r="AD3259">
        <f>ROUND(([1]Source!CA3539/100)*ROUND(([1]Source!AF3539*[1]Source!AV3539)*[1]Source!I3539, 2), 2)</f>
        <v>3341.28</v>
      </c>
      <c r="AE3259">
        <f>[1]Source!Y3539</f>
        <v>3341.28</v>
      </c>
      <c r="AF3259">
        <f>ROUND((175/100)*ROUND(([1]Source!AE3539*[1]Source!AV3539)*[1]Source!I3539, 2), 2)</f>
        <v>139830.54999999999</v>
      </c>
      <c r="AG3259">
        <f>ROUND((108/100)*ROUND([1]Source!CS3539*[1]Source!I3539, 2), 2)</f>
        <v>86295.42</v>
      </c>
    </row>
    <row r="3260" spans="1:43" x14ac:dyDescent="0.2">
      <c r="C3260" s="40" t="str">
        <f>"Объем: "&amp;[1]Source!I3539&amp;"=3271,02/"&amp;"100"</f>
        <v>Объем: 32,7102=3271,02/100</v>
      </c>
      <c r="M3260"/>
      <c r="N3260"/>
      <c r="O3260"/>
      <c r="P3260"/>
      <c r="Q3260"/>
    </row>
    <row r="3261" spans="1:43" ht="14.25" x14ac:dyDescent="0.2">
      <c r="A3261" s="31"/>
      <c r="B3261" s="31"/>
      <c r="C3261" s="31" t="s">
        <v>34</v>
      </c>
      <c r="D3261" s="32"/>
      <c r="E3261" s="4"/>
      <c r="F3261" s="33">
        <f>[1]Source!AO3539</f>
        <v>255.37</v>
      </c>
      <c r="G3261" s="34" t="str">
        <f>[1]Source!DG3539</f>
        <v>)*1*4</v>
      </c>
      <c r="H3261" s="4">
        <f>[1]Source!AV3539</f>
        <v>1</v>
      </c>
      <c r="I3261" s="4">
        <f>IF([1]Source!BA3539&lt;&gt; 0, [1]Source!BA3539, 1)</f>
        <v>1</v>
      </c>
      <c r="J3261" s="33">
        <f>[1]Source!S3539</f>
        <v>33412.82</v>
      </c>
      <c r="K3261" s="33"/>
      <c r="M3261"/>
      <c r="N3261"/>
      <c r="O3261"/>
      <c r="P3261"/>
      <c r="Q3261"/>
    </row>
    <row r="3262" spans="1:43" ht="14.25" x14ac:dyDescent="0.2">
      <c r="A3262" s="31"/>
      <c r="B3262" s="31"/>
      <c r="C3262" s="31" t="s">
        <v>33</v>
      </c>
      <c r="D3262" s="32"/>
      <c r="E3262" s="4"/>
      <c r="F3262" s="33">
        <f>[1]Source!AM3539</f>
        <v>1655.86</v>
      </c>
      <c r="G3262" s="34" t="str">
        <f>[1]Source!DE3539</f>
        <v>)*1*4</v>
      </c>
      <c r="H3262" s="4">
        <f>[1]Source!AV3539</f>
        <v>1</v>
      </c>
      <c r="I3262" s="4">
        <f>IF([1]Source!BB3539&lt;&gt; 0, [1]Source!BB3539, 1)</f>
        <v>1</v>
      </c>
      <c r="J3262" s="33">
        <f>[1]Source!Q3539</f>
        <v>216654.05</v>
      </c>
      <c r="K3262" s="33"/>
      <c r="M3262"/>
      <c r="N3262"/>
      <c r="O3262"/>
      <c r="P3262"/>
      <c r="Q3262"/>
    </row>
    <row r="3263" spans="1:43" ht="14.25" x14ac:dyDescent="0.2">
      <c r="A3263" s="31"/>
      <c r="B3263" s="31"/>
      <c r="C3263" s="31" t="s">
        <v>37</v>
      </c>
      <c r="D3263" s="32"/>
      <c r="E3263" s="4"/>
      <c r="F3263" s="33">
        <f>[1]Source!AN3539</f>
        <v>610.69000000000005</v>
      </c>
      <c r="G3263" s="34" t="str">
        <f>[1]Source!DF3539</f>
        <v>)*1*4</v>
      </c>
      <c r="H3263" s="4">
        <f>[1]Source!AV3539</f>
        <v>1</v>
      </c>
      <c r="I3263" s="4">
        <f>IF([1]Source!BS3539&lt;&gt; 0, [1]Source!BS3539, 1)</f>
        <v>1</v>
      </c>
      <c r="J3263" s="41">
        <f>[1]Source!R3539</f>
        <v>79903.17</v>
      </c>
      <c r="K3263" s="33"/>
      <c r="M3263"/>
      <c r="N3263"/>
      <c r="O3263"/>
      <c r="P3263"/>
      <c r="Q3263"/>
    </row>
    <row r="3264" spans="1:43" ht="14.25" x14ac:dyDescent="0.2">
      <c r="A3264" s="31"/>
      <c r="B3264" s="31"/>
      <c r="C3264" s="31" t="s">
        <v>47</v>
      </c>
      <c r="D3264" s="32"/>
      <c r="E3264" s="4"/>
      <c r="F3264" s="33">
        <f>[1]Source!AL3539</f>
        <v>25.46</v>
      </c>
      <c r="G3264" s="34" t="str">
        <f>[1]Source!DD3539</f>
        <v>)*1*4</v>
      </c>
      <c r="H3264" s="4">
        <f>[1]Source!AW3539</f>
        <v>1</v>
      </c>
      <c r="I3264" s="4">
        <f>IF([1]Source!BC3539&lt;&gt; 0, [1]Source!BC3539, 1)</f>
        <v>1</v>
      </c>
      <c r="J3264" s="33">
        <f>[1]Source!P3539</f>
        <v>3331.21</v>
      </c>
      <c r="K3264" s="33"/>
      <c r="M3264"/>
      <c r="N3264"/>
      <c r="O3264"/>
      <c r="P3264"/>
      <c r="Q3264"/>
    </row>
    <row r="3265" spans="1:33" ht="14.25" x14ac:dyDescent="0.2">
      <c r="A3265" s="31" t="s">
        <v>159</v>
      </c>
      <c r="B3265" s="31" t="str">
        <f>[1]Source!F3540</f>
        <v>21.1-25-13</v>
      </c>
      <c r="C3265" s="31" t="str">
        <f>[1]Source!G3540</f>
        <v>Вода</v>
      </c>
      <c r="D3265" s="32" t="str">
        <f>[1]Source!H3540</f>
        <v>м3</v>
      </c>
      <c r="E3265" s="4">
        <f>[1]Source!I3540</f>
        <v>-78.504480000000001</v>
      </c>
      <c r="F3265" s="33">
        <f>[1]Source!AK3540</f>
        <v>42.44</v>
      </c>
      <c r="G3265" s="39" t="s">
        <v>127</v>
      </c>
      <c r="H3265" s="4">
        <f>[1]Source!AW3540</f>
        <v>1</v>
      </c>
      <c r="I3265" s="4">
        <f>IF([1]Source!BC3540&lt;&gt; 0, [1]Source!BC3540, 1)</f>
        <v>1</v>
      </c>
      <c r="J3265" s="33">
        <f>[1]Source!O3540</f>
        <v>-3331.73</v>
      </c>
      <c r="K3265" s="33"/>
      <c r="M3265"/>
      <c r="N3265"/>
      <c r="O3265"/>
      <c r="P3265"/>
      <c r="Q3265"/>
      <c r="AB3265">
        <f>ROUND(([1]Source!BZ3540/100)*ROUND(([1]Source!AF3540*[1]Source!AV3540)*[1]Source!I3540, 2), 2)</f>
        <v>0</v>
      </c>
      <c r="AC3265">
        <f>[1]Source!X3540</f>
        <v>0</v>
      </c>
      <c r="AD3265">
        <f>ROUND(([1]Source!CA3540/100)*ROUND(([1]Source!AF3540*[1]Source!AV3540)*[1]Source!I3540, 2), 2)</f>
        <v>0</v>
      </c>
      <c r="AE3265">
        <f>[1]Source!Y3540</f>
        <v>0</v>
      </c>
      <c r="AF3265">
        <f>ROUND((175/100)*ROUND(([1]Source!AE3540*[1]Source!AV3540)*[1]Source!I3540, 2), 2)</f>
        <v>0</v>
      </c>
      <c r="AG3265">
        <f>ROUND((108/100)*ROUND([1]Source!CS3540*[1]Source!I3540, 2), 2)</f>
        <v>0</v>
      </c>
    </row>
    <row r="3266" spans="1:33" ht="14.25" x14ac:dyDescent="0.2">
      <c r="A3266" s="31"/>
      <c r="B3266" s="31"/>
      <c r="C3266" s="31" t="s">
        <v>40</v>
      </c>
      <c r="D3266" s="32" t="s">
        <v>39</v>
      </c>
      <c r="E3266" s="4">
        <f>[1]Source!AT3539</f>
        <v>70</v>
      </c>
      <c r="F3266" s="33"/>
      <c r="G3266" s="34"/>
      <c r="H3266" s="4"/>
      <c r="I3266" s="4"/>
      <c r="J3266" s="33">
        <f>SUM(AC3259:AC3265)</f>
        <v>23388.97</v>
      </c>
      <c r="K3266" s="33"/>
      <c r="M3266"/>
      <c r="N3266"/>
      <c r="O3266"/>
      <c r="P3266"/>
      <c r="Q3266"/>
    </row>
    <row r="3267" spans="1:33" ht="14.25" x14ac:dyDescent="0.2">
      <c r="A3267" s="31"/>
      <c r="B3267" s="31"/>
      <c r="C3267" s="31" t="s">
        <v>41</v>
      </c>
      <c r="D3267" s="32" t="s">
        <v>39</v>
      </c>
      <c r="E3267" s="4">
        <f>[1]Source!AU3539</f>
        <v>10</v>
      </c>
      <c r="F3267" s="33"/>
      <c r="G3267" s="34"/>
      <c r="H3267" s="4"/>
      <c r="I3267" s="4"/>
      <c r="J3267" s="33">
        <f>SUM(AE3259:AE3266)</f>
        <v>3341.28</v>
      </c>
      <c r="K3267" s="33"/>
      <c r="M3267"/>
      <c r="N3267"/>
      <c r="O3267"/>
      <c r="P3267"/>
      <c r="Q3267"/>
    </row>
    <row r="3268" spans="1:33" ht="14.25" x14ac:dyDescent="0.2">
      <c r="A3268" s="31"/>
      <c r="B3268" s="31"/>
      <c r="C3268" s="31" t="s">
        <v>38</v>
      </c>
      <c r="D3268" s="32" t="s">
        <v>39</v>
      </c>
      <c r="E3268" s="4">
        <f>108</f>
        <v>108</v>
      </c>
      <c r="F3268" s="33"/>
      <c r="G3268" s="34"/>
      <c r="H3268" s="4"/>
      <c r="I3268" s="4"/>
      <c r="J3268" s="33">
        <f>SUM(AG3259:AG3267)</f>
        <v>86295.42</v>
      </c>
      <c r="K3268" s="33"/>
      <c r="M3268"/>
      <c r="N3268"/>
      <c r="O3268"/>
      <c r="P3268"/>
      <c r="Q3268"/>
    </row>
    <row r="3269" spans="1:33" ht="14.25" x14ac:dyDescent="0.2">
      <c r="A3269" s="31"/>
      <c r="B3269" s="31"/>
      <c r="C3269" s="31" t="s">
        <v>42</v>
      </c>
      <c r="D3269" s="32" t="s">
        <v>43</v>
      </c>
      <c r="E3269" s="4">
        <f>[1]Source!AQ3539</f>
        <v>1.03</v>
      </c>
      <c r="F3269" s="33"/>
      <c r="G3269" s="34" t="str">
        <f>[1]Source!DI3539</f>
        <v>)*1*4</v>
      </c>
      <c r="H3269" s="4">
        <f>[1]Source!AV3539</f>
        <v>1</v>
      </c>
      <c r="I3269" s="4"/>
      <c r="J3269" s="33"/>
      <c r="K3269" s="33">
        <f>[1]Source!U3539</f>
        <v>134.76602400000002</v>
      </c>
      <c r="M3269"/>
      <c r="N3269"/>
      <c r="O3269"/>
      <c r="P3269"/>
      <c r="Q3269"/>
    </row>
    <row r="3270" spans="1:33" ht="15" x14ac:dyDescent="0.25">
      <c r="A3270" s="35"/>
      <c r="B3270" s="35"/>
      <c r="C3270" s="35"/>
      <c r="D3270" s="35"/>
      <c r="E3270" s="35"/>
      <c r="F3270" s="35"/>
      <c r="G3270" s="35"/>
      <c r="H3270" s="35"/>
      <c r="I3270" s="36">
        <f>J3261+J3262+J3264+J3266+J3267+J3268+SUM(J3265:J3265)</f>
        <v>363092.02</v>
      </c>
      <c r="J3270" s="36"/>
      <c r="K3270" s="37">
        <f>IF([1]Source!I3539&lt;&gt;0, ROUND(I3270/[1]Source!I3539, 2), 0)</f>
        <v>11100.27</v>
      </c>
      <c r="M3270"/>
      <c r="N3270"/>
      <c r="O3270"/>
      <c r="P3270"/>
      <c r="Q3270"/>
      <c r="AA3270" s="38">
        <f>I3270</f>
        <v>363092.02</v>
      </c>
    </row>
    <row r="3271" spans="1:33" ht="42.75" x14ac:dyDescent="0.2">
      <c r="A3271" s="31">
        <v>419</v>
      </c>
      <c r="B3271" s="31" t="str">
        <f>[1]Source!F3541</f>
        <v>5.3-1101-7-1/1</v>
      </c>
      <c r="C3271" s="31" t="str">
        <f>[1]Source!G3541</f>
        <v>Протирка оград железобетонных от пыли и грязи( подпорные гранитные стенки)(прим.)</v>
      </c>
      <c r="D3271" s="32" t="str">
        <f>[1]Source!H3541</f>
        <v>100 м2</v>
      </c>
      <c r="E3271" s="4">
        <f>[1]Source!I3541</f>
        <v>32.7102</v>
      </c>
      <c r="F3271" s="33"/>
      <c r="G3271" s="34"/>
      <c r="H3271" s="4"/>
      <c r="I3271" s="4"/>
      <c r="J3271" s="33"/>
      <c r="K3271" s="33"/>
      <c r="M3271"/>
      <c r="N3271"/>
      <c r="O3271"/>
      <c r="P3271"/>
      <c r="Q3271"/>
      <c r="AB3271">
        <f>ROUND(([1]Source!BZ3541/100)*ROUND(([1]Source!AF3541*[1]Source!AV3541)*[1]Source!I3541, 2), 2)</f>
        <v>411573.8</v>
      </c>
      <c r="AC3271">
        <f>[1]Source!X3541</f>
        <v>411573.8</v>
      </c>
      <c r="AD3271">
        <f>ROUND(([1]Source!CA3541/100)*ROUND(([1]Source!AF3541*[1]Source!AV3541)*[1]Source!I3541, 2), 2)</f>
        <v>58796.26</v>
      </c>
      <c r="AE3271">
        <f>[1]Source!Y3541</f>
        <v>58796.26</v>
      </c>
      <c r="AF3271">
        <f>ROUND((175/100)*ROUND(([1]Source!AE3541*[1]Source!AV3541)*[1]Source!I3541, 2), 2)</f>
        <v>0</v>
      </c>
      <c r="AG3271">
        <f>ROUND((108/100)*ROUND([1]Source!CS3541*[1]Source!I3541, 2), 2)</f>
        <v>0</v>
      </c>
    </row>
    <row r="3272" spans="1:33" x14ac:dyDescent="0.2">
      <c r="C3272" s="40" t="str">
        <f>"Объем: "&amp;[1]Source!I3541&amp;"=3271,02/"&amp;"100"</f>
        <v>Объем: 32,7102=3271,02/100</v>
      </c>
      <c r="M3272"/>
      <c r="N3272"/>
      <c r="O3272"/>
      <c r="P3272"/>
      <c r="Q3272"/>
    </row>
    <row r="3273" spans="1:33" ht="14.25" x14ac:dyDescent="0.2">
      <c r="A3273" s="31"/>
      <c r="B3273" s="31"/>
      <c r="C3273" s="31" t="s">
        <v>34</v>
      </c>
      <c r="D3273" s="32"/>
      <c r="E3273" s="4"/>
      <c r="F3273" s="33">
        <f>[1]Source!AO3541</f>
        <v>1797.49</v>
      </c>
      <c r="G3273" s="34" t="str">
        <f>[1]Source!DG3541</f>
        <v>)*1*10</v>
      </c>
      <c r="H3273" s="4">
        <f>[1]Source!AV3541</f>
        <v>1</v>
      </c>
      <c r="I3273" s="4">
        <f>IF([1]Source!BA3541&lt;&gt; 0, [1]Source!BA3541, 1)</f>
        <v>1</v>
      </c>
      <c r="J3273" s="33">
        <f>[1]Source!S3541</f>
        <v>587962.56999999995</v>
      </c>
      <c r="K3273" s="33"/>
      <c r="M3273"/>
      <c r="N3273"/>
      <c r="O3273"/>
      <c r="P3273"/>
      <c r="Q3273"/>
    </row>
    <row r="3274" spans="1:33" ht="14.25" x14ac:dyDescent="0.2">
      <c r="A3274" s="31"/>
      <c r="B3274" s="31"/>
      <c r="C3274" s="31" t="s">
        <v>47</v>
      </c>
      <c r="D3274" s="32"/>
      <c r="E3274" s="4"/>
      <c r="F3274" s="33">
        <f>[1]Source!AL3541</f>
        <v>5.42</v>
      </c>
      <c r="G3274" s="34" t="str">
        <f>[1]Source!DD3541</f>
        <v>)*1*10</v>
      </c>
      <c r="H3274" s="4">
        <f>[1]Source!AW3541</f>
        <v>1</v>
      </c>
      <c r="I3274" s="4">
        <f>IF([1]Source!BC3541&lt;&gt; 0, [1]Source!BC3541, 1)</f>
        <v>1</v>
      </c>
      <c r="J3274" s="33">
        <f>[1]Source!P3541</f>
        <v>1772.89</v>
      </c>
      <c r="K3274" s="33"/>
      <c r="M3274"/>
      <c r="N3274"/>
      <c r="O3274"/>
      <c r="P3274"/>
      <c r="Q3274"/>
    </row>
    <row r="3275" spans="1:33" ht="14.25" x14ac:dyDescent="0.2">
      <c r="A3275" s="31" t="s">
        <v>160</v>
      </c>
      <c r="B3275" s="31" t="str">
        <f>[1]Source!F3542</f>
        <v>21.1-25-13</v>
      </c>
      <c r="C3275" s="31" t="str">
        <f>[1]Source!G3542</f>
        <v>Вода</v>
      </c>
      <c r="D3275" s="32" t="str">
        <f>[1]Source!H3542</f>
        <v>м3</v>
      </c>
      <c r="E3275" s="4">
        <f>[1]Source!I3542</f>
        <v>-6.5420400000000001</v>
      </c>
      <c r="F3275" s="33">
        <f>[1]Source!AK3542</f>
        <v>42.44</v>
      </c>
      <c r="G3275" s="39" t="s">
        <v>158</v>
      </c>
      <c r="H3275" s="4">
        <f>[1]Source!AW3542</f>
        <v>1</v>
      </c>
      <c r="I3275" s="4">
        <f>IF([1]Source!BC3542&lt;&gt; 0, [1]Source!BC3542, 1)</f>
        <v>1</v>
      </c>
      <c r="J3275" s="33">
        <f>[1]Source!O3542</f>
        <v>-277.64</v>
      </c>
      <c r="K3275" s="33"/>
      <c r="M3275"/>
      <c r="N3275"/>
      <c r="O3275"/>
      <c r="P3275"/>
      <c r="Q3275"/>
      <c r="AB3275">
        <f>ROUND(([1]Source!BZ3542/100)*ROUND(([1]Source!AF3542*[1]Source!AV3542)*[1]Source!I3542, 2), 2)</f>
        <v>0</v>
      </c>
      <c r="AC3275">
        <f>[1]Source!X3542</f>
        <v>0</v>
      </c>
      <c r="AD3275">
        <f>ROUND(([1]Source!CA3542/100)*ROUND(([1]Source!AF3542*[1]Source!AV3542)*[1]Source!I3542, 2), 2)</f>
        <v>0</v>
      </c>
      <c r="AE3275">
        <f>[1]Source!Y3542</f>
        <v>0</v>
      </c>
      <c r="AF3275">
        <f>ROUND((175/100)*ROUND(([1]Source!AE3542*[1]Source!AV3542)*[1]Source!I3542, 2), 2)</f>
        <v>0</v>
      </c>
      <c r="AG3275">
        <f>ROUND((108/100)*ROUND([1]Source!CS3542*[1]Source!I3542, 2), 2)</f>
        <v>0</v>
      </c>
    </row>
    <row r="3276" spans="1:33" ht="14.25" x14ac:dyDescent="0.2">
      <c r="A3276" s="31"/>
      <c r="B3276" s="31"/>
      <c r="C3276" s="31" t="s">
        <v>40</v>
      </c>
      <c r="D3276" s="32" t="s">
        <v>39</v>
      </c>
      <c r="E3276" s="4">
        <f>[1]Source!AT3541</f>
        <v>70</v>
      </c>
      <c r="F3276" s="33"/>
      <c r="G3276" s="34"/>
      <c r="H3276" s="4"/>
      <c r="I3276" s="4"/>
      <c r="J3276" s="33">
        <f>SUM(AC3271:AC3275)</f>
        <v>411573.8</v>
      </c>
      <c r="K3276" s="33"/>
      <c r="M3276"/>
      <c r="N3276"/>
      <c r="O3276"/>
      <c r="P3276"/>
      <c r="Q3276"/>
    </row>
    <row r="3277" spans="1:33" ht="14.25" x14ac:dyDescent="0.2">
      <c r="A3277" s="31"/>
      <c r="B3277" s="31"/>
      <c r="C3277" s="31" t="s">
        <v>41</v>
      </c>
      <c r="D3277" s="32" t="s">
        <v>39</v>
      </c>
      <c r="E3277" s="4">
        <f>[1]Source!AU3541</f>
        <v>10</v>
      </c>
      <c r="F3277" s="33"/>
      <c r="G3277" s="34"/>
      <c r="H3277" s="4"/>
      <c r="I3277" s="4"/>
      <c r="J3277" s="33">
        <f>SUM(AE3271:AE3276)</f>
        <v>58796.26</v>
      </c>
      <c r="K3277" s="33"/>
      <c r="M3277"/>
      <c r="N3277"/>
      <c r="O3277"/>
      <c r="P3277"/>
      <c r="Q3277"/>
    </row>
    <row r="3278" spans="1:33" ht="14.25" x14ac:dyDescent="0.2">
      <c r="A3278" s="31"/>
      <c r="B3278" s="31"/>
      <c r="C3278" s="31" t="s">
        <v>42</v>
      </c>
      <c r="D3278" s="32" t="s">
        <v>43</v>
      </c>
      <c r="E3278" s="4">
        <f>[1]Source!AQ3541</f>
        <v>7.25</v>
      </c>
      <c r="F3278" s="33"/>
      <c r="G3278" s="34" t="str">
        <f>[1]Source!DI3541</f>
        <v>)*1*10</v>
      </c>
      <c r="H3278" s="4">
        <f>[1]Source!AV3541</f>
        <v>1</v>
      </c>
      <c r="I3278" s="4"/>
      <c r="J3278" s="33"/>
      <c r="K3278" s="33">
        <f>[1]Source!U3541</f>
        <v>2371.4895000000001</v>
      </c>
      <c r="M3278"/>
      <c r="N3278"/>
      <c r="O3278"/>
      <c r="P3278"/>
      <c r="Q3278"/>
    </row>
    <row r="3279" spans="1:33" ht="15" x14ac:dyDescent="0.25">
      <c r="A3279" s="35"/>
      <c r="B3279" s="35"/>
      <c r="C3279" s="35"/>
      <c r="D3279" s="35"/>
      <c r="E3279" s="35"/>
      <c r="F3279" s="35"/>
      <c r="G3279" s="35"/>
      <c r="H3279" s="35"/>
      <c r="I3279" s="36">
        <f>J3273+J3274+J3276+J3277+SUM(J3275:J3275)</f>
        <v>1059827.8800000001</v>
      </c>
      <c r="J3279" s="36"/>
      <c r="K3279" s="37">
        <f>IF([1]Source!I3541&lt;&gt;0, ROUND(I3279/[1]Source!I3541, 2), 0)</f>
        <v>32400.53</v>
      </c>
      <c r="M3279"/>
      <c r="N3279"/>
      <c r="O3279"/>
      <c r="P3279"/>
      <c r="Q3279"/>
      <c r="AA3279" s="38">
        <f>I3279</f>
        <v>1059827.8800000001</v>
      </c>
    </row>
    <row r="3280" spans="1:33" x14ac:dyDescent="0.2">
      <c r="M3280"/>
      <c r="N3280"/>
      <c r="O3280"/>
      <c r="P3280"/>
      <c r="Q3280"/>
    </row>
    <row r="3281" spans="1:43" ht="15" x14ac:dyDescent="0.25">
      <c r="A3281" s="42" t="str">
        <f>CONCATENATE("Итого по разделу: ",IF([1]Source!G3544&lt;&gt;"Новый раздел", [1]Source!G3544, ""))</f>
        <v>Итого по разделу: Уход за подпорными гранитными стенками ( S= 3271,02 м2)</v>
      </c>
      <c r="B3281" s="42"/>
      <c r="C3281" s="42"/>
      <c r="D3281" s="42"/>
      <c r="E3281" s="42"/>
      <c r="F3281" s="42"/>
      <c r="G3281" s="42"/>
      <c r="H3281" s="42"/>
      <c r="I3281" s="43">
        <f>SUM(AA3258:AA3280)</f>
        <v>1422919.9000000001</v>
      </c>
      <c r="J3281" s="44"/>
      <c r="K3281" s="47"/>
      <c r="L3281" s="38">
        <f>I3281</f>
        <v>1422919.9000000001</v>
      </c>
      <c r="M3281" s="2">
        <f>ROUND(I3281*$I$4874,2)</f>
        <v>1027642.5</v>
      </c>
      <c r="N3281" s="2">
        <f>ROUND(M3281*1.2/105*100,2)</f>
        <v>1174448.57</v>
      </c>
      <c r="O3281" s="2">
        <f>ROUND(N3281*0.05,2)</f>
        <v>58722.43</v>
      </c>
      <c r="P3281" s="2">
        <f>N3281+O3281</f>
        <v>1233171</v>
      </c>
      <c r="Q3281" s="3">
        <v>96</v>
      </c>
      <c r="R3281">
        <v>2</v>
      </c>
      <c r="S3281" s="2">
        <v>0</v>
      </c>
    </row>
    <row r="3282" spans="1:43" x14ac:dyDescent="0.2">
      <c r="M3282"/>
      <c r="N3282"/>
      <c r="O3282"/>
      <c r="P3282"/>
      <c r="Q3282"/>
    </row>
    <row r="3283" spans="1:43" x14ac:dyDescent="0.2">
      <c r="M3283"/>
      <c r="N3283"/>
      <c r="O3283"/>
      <c r="P3283"/>
      <c r="Q3283"/>
    </row>
    <row r="3284" spans="1:43" ht="16.5" x14ac:dyDescent="0.25">
      <c r="A3284" s="29" t="str">
        <f>CONCATENATE("Раздел: ",IF([1]Source!G3574&lt;&gt;"Новый раздел", [1]Source!G3574, ""))</f>
        <v>Раздел: Уход за ограждениями бетонными, обшитые деревом( S=1050 М2)</v>
      </c>
      <c r="B3284" s="29"/>
      <c r="C3284" s="29"/>
      <c r="D3284" s="29"/>
      <c r="E3284" s="29"/>
      <c r="F3284" s="29"/>
      <c r="G3284" s="29"/>
      <c r="H3284" s="29"/>
      <c r="I3284" s="29"/>
      <c r="J3284" s="29"/>
      <c r="K3284" s="29"/>
      <c r="M3284"/>
      <c r="N3284"/>
      <c r="O3284"/>
      <c r="P3284"/>
      <c r="Q3284"/>
    </row>
    <row r="3285" spans="1:43" ht="28.5" x14ac:dyDescent="0.2">
      <c r="A3285" s="31">
        <v>420</v>
      </c>
      <c r="B3285" s="31" t="str">
        <f>[1]Source!F3578</f>
        <v>калькуляция</v>
      </c>
      <c r="C3285" s="31" t="str">
        <f>[1]Source!G3578</f>
        <v>Протирка ограждений бетонных, обшитых деревом</v>
      </c>
      <c r="D3285" s="32" t="str">
        <f>[1]Source!H3578</f>
        <v>м2</v>
      </c>
      <c r="E3285" s="4">
        <f>[1]Source!I3578</f>
        <v>1050</v>
      </c>
      <c r="F3285" s="33"/>
      <c r="G3285" s="34"/>
      <c r="H3285" s="4"/>
      <c r="I3285" s="4"/>
      <c r="J3285" s="33"/>
      <c r="K3285" s="33"/>
      <c r="M3285"/>
      <c r="N3285"/>
      <c r="O3285"/>
      <c r="P3285"/>
      <c r="Q3285"/>
      <c r="AB3285">
        <f>ROUND(([1]Source!BZ3578/100)*ROUND(([1]Source!AF3578*[1]Source!AV3578)*[1]Source!I3578, 2), 2)</f>
        <v>0</v>
      </c>
      <c r="AC3285">
        <f>[1]Source!X3578</f>
        <v>0</v>
      </c>
      <c r="AD3285">
        <f>ROUND(([1]Source!CA3578/100)*ROUND(([1]Source!AF3578*[1]Source!AV3578)*[1]Source!I3578, 2), 2)</f>
        <v>0</v>
      </c>
      <c r="AE3285">
        <f>[1]Source!Y3578</f>
        <v>0</v>
      </c>
      <c r="AF3285">
        <f>ROUND((175/100)*ROUND(([1]Source!AE3578*[1]Source!AV3578)*[1]Source!I3578, 2), 2)</f>
        <v>0</v>
      </c>
      <c r="AG3285">
        <f>ROUND((108/100)*ROUND([1]Source!CS3578*[1]Source!I3578, 2), 2)</f>
        <v>0</v>
      </c>
    </row>
    <row r="3286" spans="1:43" ht="14.25" x14ac:dyDescent="0.2">
      <c r="A3286" s="31"/>
      <c r="B3286" s="31"/>
      <c r="C3286" s="31" t="s">
        <v>34</v>
      </c>
      <c r="D3286" s="32"/>
      <c r="E3286" s="4"/>
      <c r="F3286" s="33">
        <f>[1]Source!AO3578</f>
        <v>3.03</v>
      </c>
      <c r="G3286" s="34" t="str">
        <f>[1]Source!DG3578</f>
        <v>)*1*398</v>
      </c>
      <c r="H3286" s="4">
        <f>[1]Source!AV3578</f>
        <v>1</v>
      </c>
      <c r="I3286" s="4">
        <f>IF([1]Source!BA3578&lt;&gt; 0, [1]Source!BA3578, 1)</f>
        <v>1</v>
      </c>
      <c r="J3286" s="33">
        <f>[1]Source!S3578</f>
        <v>1266237</v>
      </c>
      <c r="K3286" s="33"/>
      <c r="M3286"/>
      <c r="N3286"/>
      <c r="O3286"/>
      <c r="P3286"/>
      <c r="Q3286"/>
    </row>
    <row r="3287" spans="1:43" ht="28.5" x14ac:dyDescent="0.2">
      <c r="A3287" s="31" t="s">
        <v>161</v>
      </c>
      <c r="B3287" s="31" t="str">
        <f>[1]Source!F3579</f>
        <v>цена поставщика</v>
      </c>
      <c r="C3287" s="31" t="str">
        <f>[1]Source!G3579</f>
        <v>Очищающее средство для деревянных полов Wood Clean Pramol</v>
      </c>
      <c r="D3287" s="32" t="str">
        <f>[1]Source!H3579</f>
        <v>л</v>
      </c>
      <c r="E3287" s="4">
        <f>[1]Source!I3579</f>
        <v>41.79</v>
      </c>
      <c r="F3287" s="33">
        <f>[1]Source!AK3579</f>
        <v>433.33</v>
      </c>
      <c r="G3287" s="39" t="s">
        <v>162</v>
      </c>
      <c r="H3287" s="4">
        <f>[1]Source!AW3579</f>
        <v>1</v>
      </c>
      <c r="I3287" s="4">
        <f>IF([1]Source!BC3579&lt;&gt; 0, [1]Source!BC3579, 1)</f>
        <v>1</v>
      </c>
      <c r="J3287" s="33">
        <f>[1]Source!O3579</f>
        <v>18108.86</v>
      </c>
      <c r="K3287" s="33"/>
      <c r="M3287"/>
      <c r="N3287"/>
      <c r="O3287"/>
      <c r="P3287"/>
      <c r="Q3287"/>
      <c r="AB3287">
        <f>ROUND(([1]Source!BZ3579/100)*ROUND(([1]Source!AF3579*[1]Source!AV3579)*[1]Source!I3579, 2), 2)</f>
        <v>0</v>
      </c>
      <c r="AC3287">
        <f>[1]Source!X3579</f>
        <v>0</v>
      </c>
      <c r="AD3287">
        <f>ROUND(([1]Source!CA3579/100)*ROUND(([1]Source!AF3579*[1]Source!AV3579)*[1]Source!I3579, 2), 2)</f>
        <v>0</v>
      </c>
      <c r="AE3287">
        <f>[1]Source!Y3579</f>
        <v>0</v>
      </c>
      <c r="AF3287">
        <f>ROUND((175/100)*ROUND(([1]Source!AE3579*[1]Source!AV3579)*[1]Source!I3579, 2), 2)</f>
        <v>0</v>
      </c>
      <c r="AG3287">
        <f>ROUND((108/100)*ROUND([1]Source!CS3579*[1]Source!I3579, 2), 2)</f>
        <v>0</v>
      </c>
    </row>
    <row r="3288" spans="1:43" ht="15" x14ac:dyDescent="0.25">
      <c r="A3288" s="35"/>
      <c r="B3288" s="35"/>
      <c r="C3288" s="35"/>
      <c r="D3288" s="35"/>
      <c r="E3288" s="35"/>
      <c r="F3288" s="35"/>
      <c r="G3288" s="35"/>
      <c r="H3288" s="35"/>
      <c r="I3288" s="36">
        <f>J3286+SUM(J3287:J3287)</f>
        <v>1284345.8600000001</v>
      </c>
      <c r="J3288" s="36"/>
      <c r="K3288" s="37">
        <f>IF([1]Source!I3578&lt;&gt;0, ROUND(I3288/[1]Source!I3578, 2), 0)</f>
        <v>1223.19</v>
      </c>
      <c r="M3288"/>
      <c r="N3288"/>
      <c r="O3288"/>
      <c r="P3288"/>
      <c r="Q3288"/>
      <c r="AA3288" s="38">
        <f>I3288</f>
        <v>1284345.8600000001</v>
      </c>
    </row>
    <row r="3289" spans="1:43" x14ac:dyDescent="0.2">
      <c r="M3289"/>
      <c r="N3289"/>
      <c r="O3289"/>
      <c r="P3289"/>
      <c r="Q3289"/>
    </row>
    <row r="3290" spans="1:43" ht="15" x14ac:dyDescent="0.25">
      <c r="A3290" s="42" t="str">
        <f>CONCATENATE("Итого по разделу: ",IF([1]Source!G3581&lt;&gt;"Новый раздел", [1]Source!G3581, ""))</f>
        <v>Итого по разделу: Уход за ограждениями бетонными, обшитые деревом( S=1050 М2)</v>
      </c>
      <c r="B3290" s="42"/>
      <c r="C3290" s="42"/>
      <c r="D3290" s="42"/>
      <c r="E3290" s="42"/>
      <c r="F3290" s="42"/>
      <c r="G3290" s="42"/>
      <c r="H3290" s="42"/>
      <c r="I3290" s="43">
        <f>SUM(AA3284:AA3289)</f>
        <v>1284345.8600000001</v>
      </c>
      <c r="J3290" s="44"/>
      <c r="K3290" s="47"/>
      <c r="L3290" s="38">
        <f>I3290</f>
        <v>1284345.8600000001</v>
      </c>
      <c r="M3290" s="2">
        <f>ROUND(I3290*$I$4874,2)</f>
        <v>927563.37</v>
      </c>
      <c r="N3290" s="2">
        <f>ROUND(M3290*1.2/105*100,2)</f>
        <v>1060072.42</v>
      </c>
      <c r="O3290" s="2">
        <f>ROUND(N3290*0.05,2)</f>
        <v>53003.62</v>
      </c>
      <c r="P3290" s="2">
        <f>N3290+O3290</f>
        <v>1113076.04</v>
      </c>
      <c r="Q3290" s="3">
        <v>97</v>
      </c>
      <c r="R3290">
        <v>2</v>
      </c>
      <c r="S3290" s="2">
        <v>0</v>
      </c>
      <c r="AQ3290" s="46" t="str">
        <f>CONCATENATE("Итого по разделу: ",IF([1]Source!G3581&lt;&gt;"Новый раздел", [1]Source!G3581, ""))</f>
        <v>Итого по разделу: Уход за ограждениями бетонными, обшитые деревом( S=1050 М2)</v>
      </c>
    </row>
    <row r="3291" spans="1:43" x14ac:dyDescent="0.2">
      <c r="M3291"/>
      <c r="N3291"/>
      <c r="O3291"/>
      <c r="P3291"/>
      <c r="Q3291"/>
    </row>
    <row r="3292" spans="1:43" x14ac:dyDescent="0.2">
      <c r="M3292"/>
      <c r="N3292"/>
      <c r="O3292"/>
      <c r="P3292"/>
      <c r="Q3292"/>
    </row>
    <row r="3293" spans="1:43" ht="16.5" x14ac:dyDescent="0.25">
      <c r="A3293" s="29" t="str">
        <f>CONCATENATE("Раздел: ",IF([1]Source!G3611&lt;&gt;"Новый раздел", [1]Source!G3611, ""))</f>
        <v>Раздел: Содержание покрытий Варьиной площади + Москворецкая улица ( S= 6574,7м2 )</v>
      </c>
      <c r="B3293" s="29"/>
      <c r="C3293" s="29"/>
      <c r="D3293" s="29"/>
      <c r="E3293" s="29"/>
      <c r="F3293" s="29"/>
      <c r="G3293" s="29"/>
      <c r="H3293" s="29"/>
      <c r="I3293" s="29"/>
      <c r="J3293" s="29"/>
      <c r="K3293" s="29"/>
      <c r="M3293"/>
      <c r="N3293"/>
      <c r="O3293"/>
      <c r="P3293"/>
      <c r="Q3293"/>
    </row>
    <row r="3294" spans="1:43" ht="57" x14ac:dyDescent="0.2">
      <c r="A3294" s="31">
        <v>421</v>
      </c>
      <c r="B3294" s="31" t="str">
        <f>[1]Source!F3615</f>
        <v>5.3-1101-15-1/1</v>
      </c>
      <c r="C3294" s="31" t="str">
        <f>[1]Source!G3615</f>
        <v>Подметание тротуаров, придомовых и внутрибольничных проездов средствами малой механизации ( 6574,7 м2 *0,7=4602,29м2)</v>
      </c>
      <c r="D3294" s="32" t="str">
        <f>[1]Source!H3615</f>
        <v>1000 м2</v>
      </c>
      <c r="E3294" s="4">
        <f>[1]Source!I3615</f>
        <v>4.60229</v>
      </c>
      <c r="F3294" s="33"/>
      <c r="G3294" s="34"/>
      <c r="H3294" s="4"/>
      <c r="I3294" s="4"/>
      <c r="J3294" s="33"/>
      <c r="K3294" s="33"/>
      <c r="M3294"/>
      <c r="N3294"/>
      <c r="O3294"/>
      <c r="P3294"/>
      <c r="Q3294"/>
      <c r="AB3294">
        <f>ROUND(([1]Source!BZ3615/100)*ROUND(([1]Source!AF3615*[1]Source!AV3615)*[1]Source!I3615, 2), 2)</f>
        <v>0</v>
      </c>
      <c r="AC3294">
        <f>[1]Source!X3615</f>
        <v>0</v>
      </c>
      <c r="AD3294">
        <f>ROUND(([1]Source!CA3615/100)*ROUND(([1]Source!AF3615*[1]Source!AV3615)*[1]Source!I3615, 2), 2)</f>
        <v>0</v>
      </c>
      <c r="AE3294">
        <f>[1]Source!Y3615</f>
        <v>0</v>
      </c>
      <c r="AF3294">
        <f>ROUND((175/100)*ROUND(([1]Source!AE3615*[1]Source!AV3615)*[1]Source!I3615, 2), 2)</f>
        <v>1142534.58</v>
      </c>
      <c r="AG3294">
        <f>ROUND((108/100)*ROUND([1]Source!CS3615*[1]Source!I3615, 2), 2)</f>
        <v>705107.05</v>
      </c>
    </row>
    <row r="3295" spans="1:43" x14ac:dyDescent="0.2">
      <c r="C3295" s="40" t="str">
        <f>"Объем: "&amp;[1]Source!I3615&amp;"=4602,29/"&amp;"1000"</f>
        <v>Объем: 4,60229=4602,29/1000</v>
      </c>
      <c r="M3295"/>
      <c r="N3295"/>
      <c r="O3295"/>
      <c r="P3295"/>
      <c r="Q3295"/>
    </row>
    <row r="3296" spans="1:43" ht="14.25" x14ac:dyDescent="0.2">
      <c r="A3296" s="31"/>
      <c r="B3296" s="31"/>
      <c r="C3296" s="31" t="s">
        <v>33</v>
      </c>
      <c r="D3296" s="32"/>
      <c r="E3296" s="4"/>
      <c r="F3296" s="33">
        <f>[1]Source!AM3615</f>
        <v>290.76</v>
      </c>
      <c r="G3296" s="34" t="str">
        <f>[1]Source!DE3615</f>
        <v>)*3*398</v>
      </c>
      <c r="H3296" s="4">
        <f>[1]Source!AV3615</f>
        <v>1</v>
      </c>
      <c r="I3296" s="4">
        <f>IF([1]Source!BB3615&lt;&gt; 0, [1]Source!BB3615, 1)</f>
        <v>1</v>
      </c>
      <c r="J3296" s="33">
        <f>[1]Source!Q3615</f>
        <v>1597765.24</v>
      </c>
      <c r="K3296" s="33"/>
      <c r="M3296"/>
      <c r="N3296"/>
      <c r="O3296"/>
      <c r="P3296"/>
      <c r="Q3296"/>
    </row>
    <row r="3297" spans="1:33" ht="14.25" x14ac:dyDescent="0.2">
      <c r="A3297" s="31"/>
      <c r="B3297" s="31"/>
      <c r="C3297" s="31" t="s">
        <v>37</v>
      </c>
      <c r="D3297" s="32"/>
      <c r="E3297" s="4"/>
      <c r="F3297" s="33">
        <f>[1]Source!AN3615</f>
        <v>118.81</v>
      </c>
      <c r="G3297" s="34" t="str">
        <f>[1]Source!DF3615</f>
        <v>)*3*398</v>
      </c>
      <c r="H3297" s="4">
        <f>[1]Source!AV3615</f>
        <v>1</v>
      </c>
      <c r="I3297" s="4">
        <f>IF([1]Source!BS3615&lt;&gt; 0, [1]Source!BS3615, 1)</f>
        <v>1</v>
      </c>
      <c r="J3297" s="41">
        <f>[1]Source!R3615</f>
        <v>652876.9</v>
      </c>
      <c r="K3297" s="33"/>
      <c r="M3297"/>
      <c r="N3297"/>
      <c r="O3297"/>
      <c r="P3297"/>
      <c r="Q3297"/>
    </row>
    <row r="3298" spans="1:33" ht="14.25" x14ac:dyDescent="0.2">
      <c r="A3298" s="31"/>
      <c r="B3298" s="31"/>
      <c r="C3298" s="31" t="s">
        <v>47</v>
      </c>
      <c r="D3298" s="32"/>
      <c r="E3298" s="4"/>
      <c r="F3298" s="33">
        <f>[1]Source!AL3615</f>
        <v>8.49</v>
      </c>
      <c r="G3298" s="34" t="str">
        <f>[1]Source!DD3615</f>
        <v>)*3*398</v>
      </c>
      <c r="H3298" s="4">
        <f>[1]Source!AW3615</f>
        <v>1</v>
      </c>
      <c r="I3298" s="4">
        <f>IF([1]Source!BC3615&lt;&gt; 0, [1]Source!BC3615, 1)</f>
        <v>1</v>
      </c>
      <c r="J3298" s="33">
        <f>[1]Source!P3615</f>
        <v>46653.69</v>
      </c>
      <c r="K3298" s="33"/>
      <c r="M3298"/>
      <c r="N3298"/>
      <c r="O3298"/>
      <c r="P3298"/>
      <c r="Q3298"/>
    </row>
    <row r="3299" spans="1:33" ht="14.25" x14ac:dyDescent="0.2">
      <c r="A3299" s="31" t="s">
        <v>163</v>
      </c>
      <c r="B3299" s="31" t="str">
        <f>[1]Source!F3616</f>
        <v>21.1-25-13</v>
      </c>
      <c r="C3299" s="31" t="str">
        <f>[1]Source!G3616</f>
        <v>Вода</v>
      </c>
      <c r="D3299" s="32" t="str">
        <f>[1]Source!H3616</f>
        <v>м3</v>
      </c>
      <c r="E3299" s="4">
        <f>[1]Source!I3616</f>
        <v>-1099.026852</v>
      </c>
      <c r="F3299" s="33">
        <f>[1]Source!AK3616</f>
        <v>42.44</v>
      </c>
      <c r="G3299" s="39" t="s">
        <v>100</v>
      </c>
      <c r="H3299" s="4">
        <f>[1]Source!AW3616</f>
        <v>1</v>
      </c>
      <c r="I3299" s="4">
        <f>IF([1]Source!BC3616&lt;&gt; 0, [1]Source!BC3616, 1)</f>
        <v>1</v>
      </c>
      <c r="J3299" s="33">
        <f>[1]Source!O3616</f>
        <v>-46642.7</v>
      </c>
      <c r="K3299" s="33"/>
      <c r="M3299"/>
      <c r="N3299"/>
      <c r="O3299"/>
      <c r="P3299"/>
      <c r="Q3299"/>
      <c r="AB3299">
        <f>ROUND(([1]Source!BZ3616/100)*ROUND(([1]Source!AF3616*[1]Source!AV3616)*[1]Source!I3616, 2), 2)</f>
        <v>0</v>
      </c>
      <c r="AC3299">
        <f>[1]Source!X3616</f>
        <v>0</v>
      </c>
      <c r="AD3299">
        <f>ROUND(([1]Source!CA3616/100)*ROUND(([1]Source!AF3616*[1]Source!AV3616)*[1]Source!I3616, 2), 2)</f>
        <v>0</v>
      </c>
      <c r="AE3299">
        <f>[1]Source!Y3616</f>
        <v>0</v>
      </c>
      <c r="AF3299">
        <f>ROUND((175/100)*ROUND(([1]Source!AE3616*[1]Source!AV3616)*[1]Source!I3616, 2), 2)</f>
        <v>0</v>
      </c>
      <c r="AG3299">
        <f>ROUND((108/100)*ROUND([1]Source!CS3616*[1]Source!I3616, 2), 2)</f>
        <v>0</v>
      </c>
    </row>
    <row r="3300" spans="1:33" ht="14.25" x14ac:dyDescent="0.2">
      <c r="A3300" s="31"/>
      <c r="B3300" s="31"/>
      <c r="C3300" s="31" t="s">
        <v>38</v>
      </c>
      <c r="D3300" s="32" t="s">
        <v>39</v>
      </c>
      <c r="E3300" s="4">
        <f>108</f>
        <v>108</v>
      </c>
      <c r="F3300" s="33"/>
      <c r="G3300" s="34"/>
      <c r="H3300" s="4"/>
      <c r="I3300" s="4"/>
      <c r="J3300" s="33">
        <f>SUM(AG3294:AG3299)</f>
        <v>705107.05</v>
      </c>
      <c r="K3300" s="33"/>
      <c r="M3300"/>
      <c r="N3300"/>
      <c r="O3300"/>
      <c r="P3300"/>
      <c r="Q3300"/>
    </row>
    <row r="3301" spans="1:33" ht="15" x14ac:dyDescent="0.25">
      <c r="A3301" s="35"/>
      <c r="B3301" s="35"/>
      <c r="C3301" s="35"/>
      <c r="D3301" s="35"/>
      <c r="E3301" s="35"/>
      <c r="F3301" s="35"/>
      <c r="G3301" s="35"/>
      <c r="H3301" s="35"/>
      <c r="I3301" s="36">
        <f>J3296+J3298+J3300+SUM(J3299:J3299)</f>
        <v>2302883.2799999998</v>
      </c>
      <c r="J3301" s="36"/>
      <c r="K3301" s="37">
        <f>IF([1]Source!I3615&lt;&gt;0, ROUND(I3301/[1]Source!I3615, 2), 0)</f>
        <v>500377.7</v>
      </c>
      <c r="M3301"/>
      <c r="N3301"/>
      <c r="O3301"/>
      <c r="P3301"/>
      <c r="Q3301"/>
      <c r="AA3301" s="38">
        <f>I3301</f>
        <v>2302883.2799999998</v>
      </c>
    </row>
    <row r="3302" spans="1:33" ht="42.75" x14ac:dyDescent="0.2">
      <c r="A3302" s="31">
        <v>422</v>
      </c>
      <c r="B3302" s="31" t="str">
        <f>[1]Source!F3617</f>
        <v>5.3-1101-13-1/1</v>
      </c>
      <c r="C3302" s="31" t="str">
        <f>[1]Source!G3617</f>
        <v>Подметание вручную дорожек и площадок с твердым покрытием ( 6574,7 м2* 0,3= 1972,41 м2)</v>
      </c>
      <c r="D3302" s="32" t="str">
        <f>[1]Source!H3617</f>
        <v>100 м2</v>
      </c>
      <c r="E3302" s="4">
        <f>[1]Source!I3617</f>
        <v>19.7241</v>
      </c>
      <c r="F3302" s="33"/>
      <c r="G3302" s="34"/>
      <c r="H3302" s="4"/>
      <c r="I3302" s="4"/>
      <c r="J3302" s="33"/>
      <c r="K3302" s="33"/>
      <c r="M3302"/>
      <c r="N3302"/>
      <c r="O3302"/>
      <c r="P3302"/>
      <c r="Q3302"/>
      <c r="AB3302">
        <f>ROUND(([1]Source!BZ3617/100)*ROUND(([1]Source!AF3617*[1]Source!AV3617)*[1]Source!I3617, 2), 2)</f>
        <v>572208.32999999996</v>
      </c>
      <c r="AC3302">
        <f>[1]Source!X3617</f>
        <v>572208.32999999996</v>
      </c>
      <c r="AD3302">
        <f>ROUND(([1]Source!CA3617/100)*ROUND(([1]Source!AF3617*[1]Source!AV3617)*[1]Source!I3617, 2), 2)</f>
        <v>81744.05</v>
      </c>
      <c r="AE3302">
        <f>[1]Source!Y3617</f>
        <v>81744.05</v>
      </c>
      <c r="AF3302">
        <f>ROUND((175/100)*ROUND(([1]Source!AE3617*[1]Source!AV3617)*[1]Source!I3617, 2), 2)</f>
        <v>0</v>
      </c>
      <c r="AG3302">
        <f>ROUND((108/100)*ROUND([1]Source!CS3617*[1]Source!I3617, 2), 2)</f>
        <v>0</v>
      </c>
    </row>
    <row r="3303" spans="1:33" x14ac:dyDescent="0.2">
      <c r="C3303" s="40" t="str">
        <f>"Объем: "&amp;[1]Source!I3617&amp;"=1972,41/"&amp;"100"</f>
        <v>Объем: 19,7241=1972,41/100</v>
      </c>
      <c r="M3303"/>
      <c r="N3303"/>
      <c r="O3303"/>
      <c r="P3303"/>
      <c r="Q3303"/>
    </row>
    <row r="3304" spans="1:33" ht="14.25" x14ac:dyDescent="0.2">
      <c r="A3304" s="31"/>
      <c r="B3304" s="31"/>
      <c r="C3304" s="31" t="s">
        <v>34</v>
      </c>
      <c r="D3304" s="32"/>
      <c r="E3304" s="4"/>
      <c r="F3304" s="33">
        <f>[1]Source!AO3617</f>
        <v>34.71</v>
      </c>
      <c r="G3304" s="34" t="str">
        <f>[1]Source!DG3617</f>
        <v>)*3*398</v>
      </c>
      <c r="H3304" s="4">
        <f>[1]Source!AV3617</f>
        <v>1</v>
      </c>
      <c r="I3304" s="4">
        <f>IF([1]Source!BA3617&lt;&gt; 0, [1]Source!BA3617, 1)</f>
        <v>1</v>
      </c>
      <c r="J3304" s="33">
        <f>[1]Source!S3617</f>
        <v>817440.47</v>
      </c>
      <c r="K3304" s="33"/>
      <c r="M3304"/>
      <c r="N3304"/>
      <c r="O3304"/>
      <c r="P3304"/>
      <c r="Q3304"/>
    </row>
    <row r="3305" spans="1:33" ht="14.25" x14ac:dyDescent="0.2">
      <c r="A3305" s="31"/>
      <c r="B3305" s="31"/>
      <c r="C3305" s="31" t="s">
        <v>40</v>
      </c>
      <c r="D3305" s="32" t="s">
        <v>39</v>
      </c>
      <c r="E3305" s="4">
        <f>[1]Source!AT3617</f>
        <v>70</v>
      </c>
      <c r="F3305" s="33"/>
      <c r="G3305" s="34"/>
      <c r="H3305" s="4"/>
      <c r="I3305" s="4"/>
      <c r="J3305" s="33">
        <f>SUM(AC3302:AC3304)</f>
        <v>572208.32999999996</v>
      </c>
      <c r="K3305" s="33"/>
      <c r="M3305"/>
      <c r="N3305"/>
      <c r="O3305"/>
      <c r="P3305"/>
      <c r="Q3305"/>
    </row>
    <row r="3306" spans="1:33" ht="14.25" x14ac:dyDescent="0.2">
      <c r="A3306" s="31"/>
      <c r="B3306" s="31"/>
      <c r="C3306" s="31" t="s">
        <v>41</v>
      </c>
      <c r="D3306" s="32" t="s">
        <v>39</v>
      </c>
      <c r="E3306" s="4">
        <f>[1]Source!AU3617</f>
        <v>10</v>
      </c>
      <c r="F3306" s="33"/>
      <c r="G3306" s="34"/>
      <c r="H3306" s="4"/>
      <c r="I3306" s="4"/>
      <c r="J3306" s="33">
        <f>SUM(AE3302:AE3305)</f>
        <v>81744.05</v>
      </c>
      <c r="K3306" s="33"/>
      <c r="M3306"/>
      <c r="N3306"/>
      <c r="O3306"/>
      <c r="P3306"/>
      <c r="Q3306"/>
    </row>
    <row r="3307" spans="1:33" ht="14.25" x14ac:dyDescent="0.2">
      <c r="A3307" s="31"/>
      <c r="B3307" s="31"/>
      <c r="C3307" s="31" t="s">
        <v>42</v>
      </c>
      <c r="D3307" s="32" t="s">
        <v>43</v>
      </c>
      <c r="E3307" s="4">
        <f>[1]Source!AQ3617</f>
        <v>0.14000000000000001</v>
      </c>
      <c r="F3307" s="33"/>
      <c r="G3307" s="34" t="str">
        <f>[1]Source!DI3617</f>
        <v>)*3*398</v>
      </c>
      <c r="H3307" s="4">
        <f>[1]Source!AV3617</f>
        <v>1</v>
      </c>
      <c r="I3307" s="4"/>
      <c r="J3307" s="33"/>
      <c r="K3307" s="33">
        <f>[1]Source!U3617</f>
        <v>3297.0805560000003</v>
      </c>
      <c r="M3307"/>
      <c r="N3307"/>
      <c r="O3307"/>
      <c r="P3307"/>
      <c r="Q3307"/>
    </row>
    <row r="3308" spans="1:33" ht="15" x14ac:dyDescent="0.25">
      <c r="A3308" s="35"/>
      <c r="B3308" s="35"/>
      <c r="C3308" s="35"/>
      <c r="D3308" s="35"/>
      <c r="E3308" s="35"/>
      <c r="F3308" s="35"/>
      <c r="G3308" s="35"/>
      <c r="H3308" s="35"/>
      <c r="I3308" s="36">
        <f>J3304+J3305+J3306</f>
        <v>1471392.8499999999</v>
      </c>
      <c r="J3308" s="36"/>
      <c r="K3308" s="37">
        <f>IF([1]Source!I3617&lt;&gt;0, ROUND(I3308/[1]Source!I3617, 2), 0)</f>
        <v>74598.73</v>
      </c>
      <c r="M3308"/>
      <c r="N3308"/>
      <c r="O3308"/>
      <c r="P3308"/>
      <c r="Q3308"/>
      <c r="AA3308" s="38">
        <f>I3308</f>
        <v>1471392.8499999999</v>
      </c>
    </row>
    <row r="3309" spans="1:33" ht="71.25" x14ac:dyDescent="0.2">
      <c r="A3309" s="31">
        <v>423</v>
      </c>
      <c r="B3309" s="31" t="str">
        <f>[1]Source!F3618</f>
        <v>5.3-1101-13-1/1</v>
      </c>
      <c r="C3309" s="31" t="str">
        <f>[1]Source!G3618</f>
        <v>Подметание вручную дорожек и площадок с твердым покрытием( дополнительное подметание покрытий при средней засоренности в осенний период)</v>
      </c>
      <c r="D3309" s="32" t="str">
        <f>[1]Source!H3618</f>
        <v>100 м2</v>
      </c>
      <c r="E3309" s="4">
        <f>[1]Source!I3618</f>
        <v>65.747</v>
      </c>
      <c r="F3309" s="33"/>
      <c r="G3309" s="34"/>
      <c r="H3309" s="4"/>
      <c r="I3309" s="4"/>
      <c r="J3309" s="33"/>
      <c r="K3309" s="33"/>
      <c r="M3309"/>
      <c r="N3309"/>
      <c r="O3309"/>
      <c r="P3309"/>
      <c r="Q3309"/>
      <c r="AB3309">
        <f>ROUND(([1]Source!BZ3618/100)*ROUND(([1]Source!AF3618*[1]Source!AV3618)*[1]Source!I3618, 2), 2)</f>
        <v>95847.29</v>
      </c>
      <c r="AC3309">
        <f>[1]Source!X3618</f>
        <v>95847.29</v>
      </c>
      <c r="AD3309">
        <f>ROUND(([1]Source!CA3618/100)*ROUND(([1]Source!AF3618*[1]Source!AV3618)*[1]Source!I3618, 2), 2)</f>
        <v>13692.47</v>
      </c>
      <c r="AE3309">
        <f>[1]Source!Y3618</f>
        <v>13692.47</v>
      </c>
      <c r="AF3309">
        <f>ROUND((175/100)*ROUND(([1]Source!AE3618*[1]Source!AV3618)*[1]Source!I3618, 2), 2)</f>
        <v>0</v>
      </c>
      <c r="AG3309">
        <f>ROUND((108/100)*ROUND([1]Source!CS3618*[1]Source!I3618, 2), 2)</f>
        <v>0</v>
      </c>
    </row>
    <row r="3310" spans="1:33" x14ac:dyDescent="0.2">
      <c r="C3310" s="40" t="str">
        <f>"Объем: "&amp;[1]Source!I3618&amp;"=6574,7/"&amp;"100"</f>
        <v>Объем: 65,747=6574,7/100</v>
      </c>
      <c r="M3310"/>
      <c r="N3310"/>
      <c r="O3310"/>
      <c r="P3310"/>
      <c r="Q3310"/>
    </row>
    <row r="3311" spans="1:33" ht="14.25" x14ac:dyDescent="0.2">
      <c r="A3311" s="31"/>
      <c r="B3311" s="31"/>
      <c r="C3311" s="31" t="s">
        <v>34</v>
      </c>
      <c r="D3311" s="32"/>
      <c r="E3311" s="4"/>
      <c r="F3311" s="33">
        <f>[1]Source!AO3618</f>
        <v>34.71</v>
      </c>
      <c r="G3311" s="34" t="str">
        <f>[1]Source!DG3618</f>
        <v>)*1*60</v>
      </c>
      <c r="H3311" s="4">
        <f>[1]Source!AV3618</f>
        <v>1</v>
      </c>
      <c r="I3311" s="4">
        <f>IF([1]Source!BA3618&lt;&gt; 0, [1]Source!BA3618, 1)</f>
        <v>1</v>
      </c>
      <c r="J3311" s="33">
        <f>[1]Source!S3618</f>
        <v>136924.70000000001</v>
      </c>
      <c r="K3311" s="33"/>
      <c r="M3311"/>
      <c r="N3311"/>
      <c r="O3311"/>
      <c r="P3311"/>
      <c r="Q3311"/>
    </row>
    <row r="3312" spans="1:33" ht="14.25" x14ac:dyDescent="0.2">
      <c r="A3312" s="31"/>
      <c r="B3312" s="31"/>
      <c r="C3312" s="31" t="s">
        <v>40</v>
      </c>
      <c r="D3312" s="32" t="s">
        <v>39</v>
      </c>
      <c r="E3312" s="4">
        <f>[1]Source!AT3618</f>
        <v>70</v>
      </c>
      <c r="F3312" s="33"/>
      <c r="G3312" s="34"/>
      <c r="H3312" s="4"/>
      <c r="I3312" s="4"/>
      <c r="J3312" s="33">
        <f>SUM(AC3309:AC3311)</f>
        <v>95847.29</v>
      </c>
      <c r="K3312" s="33"/>
      <c r="M3312"/>
      <c r="N3312"/>
      <c r="O3312"/>
      <c r="P3312"/>
      <c r="Q3312"/>
    </row>
    <row r="3313" spans="1:33" ht="14.25" x14ac:dyDescent="0.2">
      <c r="A3313" s="31"/>
      <c r="B3313" s="31"/>
      <c r="C3313" s="31" t="s">
        <v>41</v>
      </c>
      <c r="D3313" s="32" t="s">
        <v>39</v>
      </c>
      <c r="E3313" s="4">
        <f>[1]Source!AU3618</f>
        <v>10</v>
      </c>
      <c r="F3313" s="33"/>
      <c r="G3313" s="34"/>
      <c r="H3313" s="4"/>
      <c r="I3313" s="4"/>
      <c r="J3313" s="33">
        <f>SUM(AE3309:AE3312)</f>
        <v>13692.47</v>
      </c>
      <c r="K3313" s="33"/>
      <c r="M3313"/>
      <c r="N3313"/>
      <c r="O3313"/>
      <c r="P3313"/>
      <c r="Q3313"/>
    </row>
    <row r="3314" spans="1:33" ht="14.25" x14ac:dyDescent="0.2">
      <c r="A3314" s="31"/>
      <c r="B3314" s="31"/>
      <c r="C3314" s="31" t="s">
        <v>42</v>
      </c>
      <c r="D3314" s="32" t="s">
        <v>43</v>
      </c>
      <c r="E3314" s="4">
        <f>[1]Source!AQ3618</f>
        <v>0.14000000000000001</v>
      </c>
      <c r="F3314" s="33"/>
      <c r="G3314" s="34" t="str">
        <f>[1]Source!DI3618</f>
        <v>)*1*60</v>
      </c>
      <c r="H3314" s="4">
        <f>[1]Source!AV3618</f>
        <v>1</v>
      </c>
      <c r="I3314" s="4"/>
      <c r="J3314" s="33"/>
      <c r="K3314" s="33">
        <f>[1]Source!U3618</f>
        <v>552.27480000000003</v>
      </c>
      <c r="M3314"/>
      <c r="N3314"/>
      <c r="O3314"/>
      <c r="P3314"/>
      <c r="Q3314"/>
    </row>
    <row r="3315" spans="1:33" ht="15" x14ac:dyDescent="0.25">
      <c r="A3315" s="35"/>
      <c r="B3315" s="35"/>
      <c r="C3315" s="35"/>
      <c r="D3315" s="35"/>
      <c r="E3315" s="35"/>
      <c r="F3315" s="35"/>
      <c r="G3315" s="35"/>
      <c r="H3315" s="35"/>
      <c r="I3315" s="36">
        <f>J3311+J3312+J3313</f>
        <v>246464.46</v>
      </c>
      <c r="J3315" s="36"/>
      <c r="K3315" s="37">
        <f>IF([1]Source!I3618&lt;&gt;0, ROUND(I3315/[1]Source!I3618, 2), 0)</f>
        <v>3748.68</v>
      </c>
      <c r="M3315"/>
      <c r="N3315"/>
      <c r="O3315"/>
      <c r="P3315"/>
      <c r="Q3315"/>
      <c r="AA3315" s="38">
        <f>I3315</f>
        <v>246464.46</v>
      </c>
    </row>
    <row r="3316" spans="1:33" ht="42.75" x14ac:dyDescent="0.2">
      <c r="A3316" s="31">
        <v>424</v>
      </c>
      <c r="B3316" s="31" t="str">
        <f>[1]Source!F3619</f>
        <v>5.3-1101-15-5/1</v>
      </c>
      <c r="C3316" s="31" t="str">
        <f>[1]Source!G3619</f>
        <v>Мытье тротуаров, придомовых и внутрибольничных проездов средствами малой механизации</v>
      </c>
      <c r="D3316" s="32" t="str">
        <f>[1]Source!H3619</f>
        <v>1000 м2</v>
      </c>
      <c r="E3316" s="4">
        <f>[1]Source!I3619</f>
        <v>6.5747</v>
      </c>
      <c r="F3316" s="33"/>
      <c r="G3316" s="34"/>
      <c r="H3316" s="4"/>
      <c r="I3316" s="4"/>
      <c r="J3316" s="33"/>
      <c r="K3316" s="33"/>
      <c r="M3316"/>
      <c r="N3316"/>
      <c r="O3316"/>
      <c r="P3316"/>
      <c r="Q3316"/>
      <c r="AB3316">
        <f>ROUND(([1]Source!BZ3619/100)*ROUND(([1]Source!AF3619*[1]Source!AV3619)*[1]Source!I3619, 2), 2)</f>
        <v>0</v>
      </c>
      <c r="AC3316">
        <f>[1]Source!X3619</f>
        <v>0</v>
      </c>
      <c r="AD3316">
        <f>ROUND(([1]Source!CA3619/100)*ROUND(([1]Source!AF3619*[1]Source!AV3619)*[1]Source!I3619, 2), 2)</f>
        <v>0</v>
      </c>
      <c r="AE3316">
        <f>[1]Source!Y3619</f>
        <v>0</v>
      </c>
      <c r="AF3316">
        <f>ROUND((175/100)*ROUND(([1]Source!AE3619*[1]Source!AV3619)*[1]Source!I3619, 2), 2)</f>
        <v>6940.03</v>
      </c>
      <c r="AG3316">
        <f>ROUND((108/100)*ROUND([1]Source!CS3619*[1]Source!I3619, 2), 2)</f>
        <v>4282.99</v>
      </c>
    </row>
    <row r="3317" spans="1:33" x14ac:dyDescent="0.2">
      <c r="C3317" s="40" t="str">
        <f>"Объем: "&amp;[1]Source!I3619&amp;"=6574,7/"&amp;"1000"</f>
        <v>Объем: 6,5747=6574,7/1000</v>
      </c>
      <c r="M3317"/>
      <c r="N3317"/>
      <c r="O3317"/>
      <c r="P3317"/>
      <c r="Q3317"/>
    </row>
    <row r="3318" spans="1:33" ht="14.25" x14ac:dyDescent="0.2">
      <c r="A3318" s="31"/>
      <c r="B3318" s="31"/>
      <c r="C3318" s="31" t="s">
        <v>33</v>
      </c>
      <c r="D3318" s="32"/>
      <c r="E3318" s="4"/>
      <c r="F3318" s="33">
        <f>[1]Source!AM3619</f>
        <v>738.08</v>
      </c>
      <c r="G3318" s="34" t="str">
        <f>[1]Source!DE3619</f>
        <v>)*1*2</v>
      </c>
      <c r="H3318" s="4">
        <f>[1]Source!AV3619</f>
        <v>1</v>
      </c>
      <c r="I3318" s="4">
        <f>IF([1]Source!BB3619&lt;&gt; 0, [1]Source!BB3619, 1)</f>
        <v>1</v>
      </c>
      <c r="J3318" s="33">
        <f>[1]Source!Q3619</f>
        <v>9705.31</v>
      </c>
      <c r="K3318" s="33"/>
      <c r="M3318"/>
      <c r="N3318"/>
      <c r="O3318"/>
      <c r="P3318"/>
      <c r="Q3318"/>
    </row>
    <row r="3319" spans="1:33" ht="14.25" x14ac:dyDescent="0.2">
      <c r="A3319" s="31"/>
      <c r="B3319" s="31"/>
      <c r="C3319" s="31" t="s">
        <v>37</v>
      </c>
      <c r="D3319" s="32"/>
      <c r="E3319" s="4"/>
      <c r="F3319" s="33">
        <f>[1]Source!AN3619</f>
        <v>301.58999999999997</v>
      </c>
      <c r="G3319" s="34" t="str">
        <f>[1]Source!DF3619</f>
        <v>)*1*2</v>
      </c>
      <c r="H3319" s="4">
        <f>[1]Source!AV3619</f>
        <v>1</v>
      </c>
      <c r="I3319" s="4">
        <f>IF([1]Source!BS3619&lt;&gt; 0, [1]Source!BS3619, 1)</f>
        <v>1</v>
      </c>
      <c r="J3319" s="41">
        <f>[1]Source!R3619</f>
        <v>3965.73</v>
      </c>
      <c r="K3319" s="33"/>
      <c r="M3319"/>
      <c r="N3319"/>
      <c r="O3319"/>
      <c r="P3319"/>
      <c r="Q3319"/>
    </row>
    <row r="3320" spans="1:33" ht="14.25" x14ac:dyDescent="0.2">
      <c r="A3320" s="31"/>
      <c r="B3320" s="31"/>
      <c r="C3320" s="31" t="s">
        <v>47</v>
      </c>
      <c r="D3320" s="32"/>
      <c r="E3320" s="4"/>
      <c r="F3320" s="33">
        <f>[1]Source!AL3619</f>
        <v>194.05</v>
      </c>
      <c r="G3320" s="34" t="str">
        <f>[1]Source!DD3619</f>
        <v>)*1*2</v>
      </c>
      <c r="H3320" s="4">
        <f>[1]Source!AW3619</f>
        <v>1</v>
      </c>
      <c r="I3320" s="4">
        <f>IF([1]Source!BC3619&lt;&gt; 0, [1]Source!BC3619, 1)</f>
        <v>1</v>
      </c>
      <c r="J3320" s="33">
        <f>[1]Source!P3619</f>
        <v>2551.64</v>
      </c>
      <c r="K3320" s="33"/>
      <c r="M3320"/>
      <c r="N3320"/>
      <c r="O3320"/>
      <c r="P3320"/>
      <c r="Q3320"/>
    </row>
    <row r="3321" spans="1:33" ht="14.25" x14ac:dyDescent="0.2">
      <c r="A3321" s="31" t="s">
        <v>164</v>
      </c>
      <c r="B3321" s="31" t="str">
        <f>[1]Source!F3620</f>
        <v>21.1-25-13</v>
      </c>
      <c r="C3321" s="31" t="str">
        <f>[1]Source!G3620</f>
        <v>Вода</v>
      </c>
      <c r="D3321" s="32" t="str">
        <f>[1]Source!H3620</f>
        <v>м3</v>
      </c>
      <c r="E3321" s="4">
        <f>[1]Source!I3620</f>
        <v>-14.727328000000002</v>
      </c>
      <c r="F3321" s="33">
        <f>[1]Source!AK3620</f>
        <v>42.44</v>
      </c>
      <c r="G3321" s="39" t="s">
        <v>102</v>
      </c>
      <c r="H3321" s="4">
        <f>[1]Source!AW3620</f>
        <v>1</v>
      </c>
      <c r="I3321" s="4">
        <f>IF([1]Source!BC3620&lt;&gt; 0, [1]Source!BC3620, 1)</f>
        <v>1</v>
      </c>
      <c r="J3321" s="33">
        <f>[1]Source!O3620</f>
        <v>-625.03</v>
      </c>
      <c r="K3321" s="33"/>
      <c r="M3321"/>
      <c r="N3321"/>
      <c r="O3321"/>
      <c r="P3321"/>
      <c r="Q3321"/>
      <c r="AB3321">
        <f>ROUND(([1]Source!BZ3620/100)*ROUND(([1]Source!AF3620*[1]Source!AV3620)*[1]Source!I3620, 2), 2)</f>
        <v>0</v>
      </c>
      <c r="AC3321">
        <f>[1]Source!X3620</f>
        <v>0</v>
      </c>
      <c r="AD3321">
        <f>ROUND(([1]Source!CA3620/100)*ROUND(([1]Source!AF3620*[1]Source!AV3620)*[1]Source!I3620, 2), 2)</f>
        <v>0</v>
      </c>
      <c r="AE3321">
        <f>[1]Source!Y3620</f>
        <v>0</v>
      </c>
      <c r="AF3321">
        <f>ROUND((175/100)*ROUND(([1]Source!AE3620*[1]Source!AV3620)*[1]Source!I3620, 2), 2)</f>
        <v>0</v>
      </c>
      <c r="AG3321">
        <f>ROUND((108/100)*ROUND([1]Source!CS3620*[1]Source!I3620, 2), 2)</f>
        <v>0</v>
      </c>
    </row>
    <row r="3322" spans="1:33" ht="14.25" x14ac:dyDescent="0.2">
      <c r="A3322" s="31"/>
      <c r="B3322" s="31"/>
      <c r="C3322" s="31" t="s">
        <v>38</v>
      </c>
      <c r="D3322" s="32" t="s">
        <v>39</v>
      </c>
      <c r="E3322" s="4">
        <f>108</f>
        <v>108</v>
      </c>
      <c r="F3322" s="33"/>
      <c r="G3322" s="34"/>
      <c r="H3322" s="4"/>
      <c r="I3322" s="4"/>
      <c r="J3322" s="33">
        <f>SUM(AG3316:AG3321)</f>
        <v>4282.99</v>
      </c>
      <c r="K3322" s="33"/>
      <c r="M3322"/>
      <c r="N3322"/>
      <c r="O3322"/>
      <c r="P3322"/>
      <c r="Q3322"/>
    </row>
    <row r="3323" spans="1:33" ht="15" x14ac:dyDescent="0.25">
      <c r="A3323" s="35"/>
      <c r="B3323" s="35"/>
      <c r="C3323" s="35"/>
      <c r="D3323" s="35"/>
      <c r="E3323" s="35"/>
      <c r="F3323" s="35"/>
      <c r="G3323" s="35"/>
      <c r="H3323" s="35"/>
      <c r="I3323" s="36">
        <f>J3318+J3320+J3322+SUM(J3321:J3321)</f>
        <v>15914.909999999998</v>
      </c>
      <c r="J3323" s="36"/>
      <c r="K3323" s="37">
        <f>IF([1]Source!I3619&lt;&gt;0, ROUND(I3323/[1]Source!I3619, 2), 0)</f>
        <v>2420.63</v>
      </c>
      <c r="M3323"/>
      <c r="N3323"/>
      <c r="O3323"/>
      <c r="P3323"/>
      <c r="Q3323"/>
      <c r="AA3323" s="38">
        <f>I3323</f>
        <v>15914.909999999998</v>
      </c>
    </row>
    <row r="3324" spans="1:33" ht="42.75" x14ac:dyDescent="0.2">
      <c r="A3324" s="31">
        <v>425</v>
      </c>
      <c r="B3324" s="31" t="str">
        <f>[1]Source!F3621</f>
        <v>5.3-1101-15-4/1</v>
      </c>
      <c r="C3324" s="31" t="str">
        <f>[1]Source!G3621</f>
        <v>Полив тротуаров, придомовых и внутрибольничных проездов средствами малой механизации</v>
      </c>
      <c r="D3324" s="32" t="str">
        <f>[1]Source!H3621</f>
        <v>1000 м2</v>
      </c>
      <c r="E3324" s="4">
        <f>[1]Source!I3621</f>
        <v>6.5747</v>
      </c>
      <c r="F3324" s="33"/>
      <c r="G3324" s="34"/>
      <c r="H3324" s="4"/>
      <c r="I3324" s="4"/>
      <c r="J3324" s="33"/>
      <c r="K3324" s="33"/>
      <c r="M3324"/>
      <c r="N3324"/>
      <c r="O3324"/>
      <c r="P3324"/>
      <c r="Q3324"/>
      <c r="AB3324">
        <f>ROUND(([1]Source!BZ3621/100)*ROUND(([1]Source!AF3621*[1]Source!AV3621)*[1]Source!I3621, 2), 2)</f>
        <v>0</v>
      </c>
      <c r="AC3324">
        <f>[1]Source!X3621</f>
        <v>0</v>
      </c>
      <c r="AD3324">
        <f>ROUND(([1]Source!CA3621/100)*ROUND(([1]Source!AF3621*[1]Source!AV3621)*[1]Source!I3621, 2), 2)</f>
        <v>0</v>
      </c>
      <c r="AE3324">
        <f>[1]Source!Y3621</f>
        <v>0</v>
      </c>
      <c r="AF3324">
        <f>ROUND((175/100)*ROUND(([1]Source!AE3621*[1]Source!AV3621)*[1]Source!I3621, 2), 2)</f>
        <v>397472.18</v>
      </c>
      <c r="AG3324">
        <f>ROUND((108/100)*ROUND([1]Source!CS3621*[1]Source!I3621, 2), 2)</f>
        <v>245297.12</v>
      </c>
    </row>
    <row r="3325" spans="1:33" x14ac:dyDescent="0.2">
      <c r="C3325" s="40" t="str">
        <f>"Объем: "&amp;[1]Source!I3621&amp;"=6574,7/"&amp;"1000"</f>
        <v>Объем: 6,5747=6574,7/1000</v>
      </c>
      <c r="M3325"/>
      <c r="N3325"/>
      <c r="O3325"/>
      <c r="P3325"/>
      <c r="Q3325"/>
    </row>
    <row r="3326" spans="1:33" ht="14.25" x14ac:dyDescent="0.2">
      <c r="A3326" s="31"/>
      <c r="B3326" s="31"/>
      <c r="C3326" s="31" t="s">
        <v>33</v>
      </c>
      <c r="D3326" s="32"/>
      <c r="E3326" s="4"/>
      <c r="F3326" s="33">
        <f>[1]Source!AM3621</f>
        <v>469.69</v>
      </c>
      <c r="G3326" s="34" t="str">
        <f>[1]Source!DE3621</f>
        <v>)*2*90</v>
      </c>
      <c r="H3326" s="4">
        <f>[1]Source!AV3621</f>
        <v>1</v>
      </c>
      <c r="I3326" s="4">
        <f>IF([1]Source!BB3621&lt;&gt; 0, [1]Source!BB3621, 1)</f>
        <v>1</v>
      </c>
      <c r="J3326" s="33">
        <f>[1]Source!Q3621</f>
        <v>555852.75</v>
      </c>
      <c r="K3326" s="33"/>
      <c r="M3326"/>
      <c r="N3326"/>
      <c r="O3326"/>
      <c r="P3326"/>
      <c r="Q3326"/>
    </row>
    <row r="3327" spans="1:33" ht="14.25" x14ac:dyDescent="0.2">
      <c r="A3327" s="31"/>
      <c r="B3327" s="31"/>
      <c r="C3327" s="31" t="s">
        <v>37</v>
      </c>
      <c r="D3327" s="32"/>
      <c r="E3327" s="4"/>
      <c r="F3327" s="33">
        <f>[1]Source!AN3621</f>
        <v>191.92</v>
      </c>
      <c r="G3327" s="34" t="str">
        <f>[1]Source!DF3621</f>
        <v>)*2*90</v>
      </c>
      <c r="H3327" s="4">
        <f>[1]Source!AV3621</f>
        <v>1</v>
      </c>
      <c r="I3327" s="4">
        <f>IF([1]Source!BS3621&lt;&gt; 0, [1]Source!BS3621, 1)</f>
        <v>1</v>
      </c>
      <c r="J3327" s="41">
        <f>[1]Source!R3621</f>
        <v>227126.96</v>
      </c>
      <c r="K3327" s="33"/>
      <c r="M3327"/>
      <c r="N3327"/>
      <c r="O3327"/>
      <c r="P3327"/>
      <c r="Q3327"/>
    </row>
    <row r="3328" spans="1:33" ht="14.25" x14ac:dyDescent="0.2">
      <c r="A3328" s="31"/>
      <c r="B3328" s="31"/>
      <c r="C3328" s="31" t="s">
        <v>47</v>
      </c>
      <c r="D3328" s="32"/>
      <c r="E3328" s="4"/>
      <c r="F3328" s="33">
        <f>[1]Source!AL3621</f>
        <v>14.85</v>
      </c>
      <c r="G3328" s="34" t="str">
        <f>[1]Source!DD3621</f>
        <v>)*2*90</v>
      </c>
      <c r="H3328" s="4">
        <f>[1]Source!AW3621</f>
        <v>1</v>
      </c>
      <c r="I3328" s="4">
        <f>IF([1]Source!BC3621&lt;&gt; 0, [1]Source!BC3621, 1)</f>
        <v>1</v>
      </c>
      <c r="J3328" s="33">
        <f>[1]Source!P3621</f>
        <v>17574.169999999998</v>
      </c>
      <c r="K3328" s="33"/>
      <c r="M3328"/>
      <c r="N3328"/>
      <c r="O3328"/>
      <c r="P3328"/>
      <c r="Q3328"/>
    </row>
    <row r="3329" spans="1:43" ht="14.25" x14ac:dyDescent="0.2">
      <c r="A3329" s="31" t="s">
        <v>165</v>
      </c>
      <c r="B3329" s="31" t="str">
        <f>[1]Source!F3622</f>
        <v>21.1-25-13</v>
      </c>
      <c r="C3329" s="31" t="str">
        <f>[1]Source!G3622</f>
        <v>Вода</v>
      </c>
      <c r="D3329" s="32" t="str">
        <f>[1]Source!H3622</f>
        <v>м3</v>
      </c>
      <c r="E3329" s="4">
        <f>[1]Source!I3622</f>
        <v>-414.20609999999999</v>
      </c>
      <c r="F3329" s="33">
        <f>[1]Source!AK3622</f>
        <v>42.44</v>
      </c>
      <c r="G3329" s="39" t="s">
        <v>104</v>
      </c>
      <c r="H3329" s="4">
        <f>[1]Source!AW3622</f>
        <v>1</v>
      </c>
      <c r="I3329" s="4">
        <f>IF([1]Source!BC3622&lt;&gt; 0, [1]Source!BC3622, 1)</f>
        <v>1</v>
      </c>
      <c r="J3329" s="33">
        <f>[1]Source!O3622</f>
        <v>-17578.91</v>
      </c>
      <c r="K3329" s="33"/>
      <c r="M3329"/>
      <c r="N3329"/>
      <c r="O3329"/>
      <c r="P3329"/>
      <c r="Q3329"/>
      <c r="AB3329">
        <f>ROUND(([1]Source!BZ3622/100)*ROUND(([1]Source!AF3622*[1]Source!AV3622)*[1]Source!I3622, 2), 2)</f>
        <v>0</v>
      </c>
      <c r="AC3329">
        <f>[1]Source!X3622</f>
        <v>0</v>
      </c>
      <c r="AD3329">
        <f>ROUND(([1]Source!CA3622/100)*ROUND(([1]Source!AF3622*[1]Source!AV3622)*[1]Source!I3622, 2), 2)</f>
        <v>0</v>
      </c>
      <c r="AE3329">
        <f>[1]Source!Y3622</f>
        <v>0</v>
      </c>
      <c r="AF3329">
        <f>ROUND((175/100)*ROUND(([1]Source!AE3622*[1]Source!AV3622)*[1]Source!I3622, 2), 2)</f>
        <v>0</v>
      </c>
      <c r="AG3329">
        <f>ROUND((108/100)*ROUND([1]Source!CS3622*[1]Source!I3622, 2), 2)</f>
        <v>0</v>
      </c>
    </row>
    <row r="3330" spans="1:43" ht="14.25" x14ac:dyDescent="0.2">
      <c r="A3330" s="31"/>
      <c r="B3330" s="31"/>
      <c r="C3330" s="31" t="s">
        <v>38</v>
      </c>
      <c r="D3330" s="32" t="s">
        <v>39</v>
      </c>
      <c r="E3330" s="4">
        <f>108</f>
        <v>108</v>
      </c>
      <c r="F3330" s="33"/>
      <c r="G3330" s="34"/>
      <c r="H3330" s="4"/>
      <c r="I3330" s="4"/>
      <c r="J3330" s="33">
        <f>SUM(AG3324:AG3329)</f>
        <v>245297.12</v>
      </c>
      <c r="K3330" s="33"/>
      <c r="M3330"/>
      <c r="N3330"/>
      <c r="O3330"/>
      <c r="P3330"/>
      <c r="Q3330"/>
    </row>
    <row r="3331" spans="1:43" ht="15" x14ac:dyDescent="0.25">
      <c r="A3331" s="35"/>
      <c r="B3331" s="35"/>
      <c r="C3331" s="35"/>
      <c r="D3331" s="35"/>
      <c r="E3331" s="35"/>
      <c r="F3331" s="35"/>
      <c r="G3331" s="35"/>
      <c r="H3331" s="35"/>
      <c r="I3331" s="36">
        <f>J3326+J3328+J3330+SUM(J3329:J3329)</f>
        <v>801145.13</v>
      </c>
      <c r="J3331" s="36"/>
      <c r="K3331" s="37">
        <f>IF([1]Source!I3621&lt;&gt;0, ROUND(I3331/[1]Source!I3621, 2), 0)</f>
        <v>121852.73</v>
      </c>
      <c r="M3331"/>
      <c r="N3331"/>
      <c r="O3331"/>
      <c r="P3331"/>
      <c r="Q3331"/>
      <c r="AA3331" s="38">
        <f>I3331</f>
        <v>801145.13</v>
      </c>
    </row>
    <row r="3332" spans="1:43" x14ac:dyDescent="0.2">
      <c r="M3332"/>
      <c r="N3332"/>
      <c r="O3332"/>
      <c r="P3332"/>
      <c r="Q3332"/>
    </row>
    <row r="3333" spans="1:43" ht="15" x14ac:dyDescent="0.25">
      <c r="A3333" s="42" t="str">
        <f>CONCATENATE("Итого по разделу: ",IF([1]Source!G3624&lt;&gt;"Новый раздел", [1]Source!G3624, ""))</f>
        <v>Итого по разделу: Содержание покрытий Варьиной площади + Москворецкая улица ( S= 6574,7м2 )</v>
      </c>
      <c r="B3333" s="42"/>
      <c r="C3333" s="42"/>
      <c r="D3333" s="42"/>
      <c r="E3333" s="42"/>
      <c r="F3333" s="42"/>
      <c r="G3333" s="42"/>
      <c r="H3333" s="42"/>
      <c r="I3333" s="43">
        <f>SUM(AA3293:AA3332)</f>
        <v>4837800.63</v>
      </c>
      <c r="J3333" s="44"/>
      <c r="K3333" s="47"/>
      <c r="L3333" s="38">
        <f>I3333</f>
        <v>4837800.63</v>
      </c>
      <c r="M3333" s="2">
        <f>ROUND(I3333*$I$4874,2)</f>
        <v>3493892.74</v>
      </c>
      <c r="N3333" s="2">
        <f>ROUND(M3333*1.2/105*100,2)</f>
        <v>3993020.27</v>
      </c>
      <c r="O3333" s="2">
        <f>ROUND(N3333*0.05,2)</f>
        <v>199651.01</v>
      </c>
      <c r="P3333" s="2">
        <f>N3333+O3333</f>
        <v>4192671.2800000003</v>
      </c>
      <c r="Q3333" s="3">
        <v>98</v>
      </c>
      <c r="R3333">
        <v>2</v>
      </c>
      <c r="S3333" s="2">
        <v>0</v>
      </c>
      <c r="AQ3333" s="46" t="str">
        <f>CONCATENATE("Итого по разделу: ",IF([1]Source!G3624&lt;&gt;"Новый раздел", [1]Source!G3624, ""))</f>
        <v>Итого по разделу: Содержание покрытий Варьиной площади + Москворецкая улица ( S= 6574,7м2 )</v>
      </c>
    </row>
    <row r="3334" spans="1:43" x14ac:dyDescent="0.2">
      <c r="M3334"/>
      <c r="N3334"/>
      <c r="O3334"/>
      <c r="P3334"/>
      <c r="Q3334"/>
    </row>
    <row r="3335" spans="1:43" x14ac:dyDescent="0.2">
      <c r="M3335"/>
      <c r="N3335"/>
      <c r="O3335"/>
      <c r="P3335"/>
      <c r="Q3335"/>
    </row>
    <row r="3336" spans="1:43" ht="16.5" x14ac:dyDescent="0.25">
      <c r="A3336" s="29" t="str">
        <f>CONCATENATE("Раздел: ",IF([1]Source!G3654&lt;&gt;"Новый раздел", [1]Source!G3654, ""))</f>
        <v>Раздел: Уход за водоотводными лотками( 1480,34М )</v>
      </c>
      <c r="B3336" s="29"/>
      <c r="C3336" s="29"/>
      <c r="D3336" s="29"/>
      <c r="E3336" s="29"/>
      <c r="F3336" s="29"/>
      <c r="G3336" s="29"/>
      <c r="H3336" s="29"/>
      <c r="I3336" s="29"/>
      <c r="J3336" s="29"/>
      <c r="K3336" s="29"/>
      <c r="M3336"/>
      <c r="N3336"/>
      <c r="O3336"/>
      <c r="P3336"/>
      <c r="Q3336"/>
    </row>
    <row r="3337" spans="1:43" ht="28.5" x14ac:dyDescent="0.2">
      <c r="A3337" s="31">
        <v>426</v>
      </c>
      <c r="B3337" s="31" t="str">
        <f>[1]Source!F3658</f>
        <v>5.3-1101-20-1/1</v>
      </c>
      <c r="C3337" s="31" t="str">
        <f>[1]Source!G3658</f>
        <v>Прочистка водоотводных лотков в отмостке ( 1480,34 м )</v>
      </c>
      <c r="D3337" s="32" t="str">
        <f>[1]Source!H3658</f>
        <v>10 м</v>
      </c>
      <c r="E3337" s="4">
        <f>[1]Source!I3658</f>
        <v>148.03399999999999</v>
      </c>
      <c r="F3337" s="33"/>
      <c r="G3337" s="34"/>
      <c r="H3337" s="4"/>
      <c r="I3337" s="4"/>
      <c r="J3337" s="33"/>
      <c r="K3337" s="33"/>
      <c r="M3337"/>
      <c r="N3337"/>
      <c r="O3337"/>
      <c r="P3337"/>
      <c r="Q3337"/>
      <c r="AB3337">
        <f>ROUND(([1]Source!BZ3658/100)*ROUND(([1]Source!AF3658*[1]Source!AV3658)*[1]Source!I3658, 2), 2)</f>
        <v>457955.02</v>
      </c>
      <c r="AC3337">
        <f>[1]Source!X3658</f>
        <v>457955.02</v>
      </c>
      <c r="AD3337">
        <f>ROUND(([1]Source!CA3658/100)*ROUND(([1]Source!AF3658*[1]Source!AV3658)*[1]Source!I3658, 2), 2)</f>
        <v>65422.15</v>
      </c>
      <c r="AE3337">
        <f>[1]Source!Y3658</f>
        <v>65422.15</v>
      </c>
      <c r="AF3337">
        <f>ROUND((175/100)*ROUND(([1]Source!AE3658*[1]Source!AV3658)*[1]Source!I3658, 2), 2)</f>
        <v>0</v>
      </c>
      <c r="AG3337">
        <f>ROUND((108/100)*ROUND([1]Source!CS3658*[1]Source!I3658, 2), 2)</f>
        <v>0</v>
      </c>
    </row>
    <row r="3338" spans="1:43" x14ac:dyDescent="0.2">
      <c r="C3338" s="40" t="str">
        <f>"Объем: "&amp;[1]Source!I3658&amp;"=1480,34/"&amp;"10"</f>
        <v>Объем: 148,034=1480,34/10</v>
      </c>
      <c r="M3338"/>
      <c r="N3338"/>
      <c r="O3338"/>
      <c r="P3338"/>
      <c r="Q3338"/>
    </row>
    <row r="3339" spans="1:43" ht="14.25" x14ac:dyDescent="0.2">
      <c r="A3339" s="31"/>
      <c r="B3339" s="31"/>
      <c r="C3339" s="31" t="s">
        <v>34</v>
      </c>
      <c r="D3339" s="32"/>
      <c r="E3339" s="4"/>
      <c r="F3339" s="33">
        <f>[1]Source!AO3658</f>
        <v>220.97</v>
      </c>
      <c r="G3339" s="34" t="str">
        <f>[1]Source!DG3658</f>
        <v>)*1*20</v>
      </c>
      <c r="H3339" s="4">
        <f>[1]Source!AV3658</f>
        <v>1</v>
      </c>
      <c r="I3339" s="4">
        <f>IF([1]Source!BA3658&lt;&gt; 0, [1]Source!BA3658, 1)</f>
        <v>1</v>
      </c>
      <c r="J3339" s="33">
        <f>[1]Source!S3658</f>
        <v>654221.46</v>
      </c>
      <c r="K3339" s="33"/>
      <c r="M3339"/>
      <c r="N3339"/>
      <c r="O3339"/>
      <c r="P3339"/>
      <c r="Q3339"/>
    </row>
    <row r="3340" spans="1:43" ht="14.25" x14ac:dyDescent="0.2">
      <c r="A3340" s="31"/>
      <c r="B3340" s="31"/>
      <c r="C3340" s="31" t="s">
        <v>40</v>
      </c>
      <c r="D3340" s="32" t="s">
        <v>39</v>
      </c>
      <c r="E3340" s="4">
        <f>[1]Source!AT3658</f>
        <v>70</v>
      </c>
      <c r="F3340" s="33"/>
      <c r="G3340" s="34"/>
      <c r="H3340" s="4"/>
      <c r="I3340" s="4"/>
      <c r="J3340" s="33">
        <f>SUM(AC3337:AC3339)</f>
        <v>457955.02</v>
      </c>
      <c r="K3340" s="33"/>
      <c r="M3340"/>
      <c r="N3340"/>
      <c r="O3340"/>
      <c r="P3340"/>
      <c r="Q3340"/>
    </row>
    <row r="3341" spans="1:43" ht="14.25" x14ac:dyDescent="0.2">
      <c r="A3341" s="31"/>
      <c r="B3341" s="31"/>
      <c r="C3341" s="31" t="s">
        <v>41</v>
      </c>
      <c r="D3341" s="32" t="s">
        <v>39</v>
      </c>
      <c r="E3341" s="4">
        <f>[1]Source!AU3658</f>
        <v>10</v>
      </c>
      <c r="F3341" s="33"/>
      <c r="G3341" s="34"/>
      <c r="H3341" s="4"/>
      <c r="I3341" s="4"/>
      <c r="J3341" s="33">
        <f>SUM(AE3337:AE3340)</f>
        <v>65422.15</v>
      </c>
      <c r="K3341" s="33"/>
      <c r="M3341"/>
      <c r="N3341"/>
      <c r="O3341"/>
      <c r="P3341"/>
      <c r="Q3341"/>
    </row>
    <row r="3342" spans="1:43" ht="14.25" x14ac:dyDescent="0.2">
      <c r="A3342" s="31"/>
      <c r="B3342" s="31"/>
      <c r="C3342" s="31" t="s">
        <v>42</v>
      </c>
      <c r="D3342" s="32" t="s">
        <v>43</v>
      </c>
      <c r="E3342" s="4">
        <f>[1]Source!AQ3658</f>
        <v>1.24</v>
      </c>
      <c r="F3342" s="33"/>
      <c r="G3342" s="34" t="str">
        <f>[1]Source!DI3658</f>
        <v>)*1*20</v>
      </c>
      <c r="H3342" s="4">
        <f>[1]Source!AV3658</f>
        <v>1</v>
      </c>
      <c r="I3342" s="4"/>
      <c r="J3342" s="33"/>
      <c r="K3342" s="33">
        <f>[1]Source!U3658</f>
        <v>3671.2431999999999</v>
      </c>
      <c r="M3342"/>
      <c r="N3342"/>
      <c r="O3342"/>
      <c r="P3342"/>
      <c r="Q3342"/>
    </row>
    <row r="3343" spans="1:43" ht="15" x14ac:dyDescent="0.25">
      <c r="A3343" s="35"/>
      <c r="B3343" s="35"/>
      <c r="C3343" s="35"/>
      <c r="D3343" s="35"/>
      <c r="E3343" s="35"/>
      <c r="F3343" s="35"/>
      <c r="G3343" s="35"/>
      <c r="H3343" s="35"/>
      <c r="I3343" s="36">
        <f>J3339+J3340+J3341</f>
        <v>1177598.6299999999</v>
      </c>
      <c r="J3343" s="36"/>
      <c r="K3343" s="37">
        <f>IF([1]Source!I3658&lt;&gt;0, ROUND(I3343/[1]Source!I3658, 2), 0)</f>
        <v>7954.92</v>
      </c>
      <c r="M3343"/>
      <c r="N3343"/>
      <c r="O3343"/>
      <c r="P3343"/>
      <c r="Q3343"/>
      <c r="AA3343" s="38">
        <f>I3343</f>
        <v>1177598.6299999999</v>
      </c>
    </row>
    <row r="3344" spans="1:43" x14ac:dyDescent="0.2">
      <c r="M3344"/>
      <c r="N3344"/>
      <c r="O3344"/>
      <c r="P3344"/>
      <c r="Q3344"/>
    </row>
    <row r="3345" spans="1:33" ht="15" x14ac:dyDescent="0.25">
      <c r="A3345" s="42" t="str">
        <f>CONCATENATE("Итого по разделу: ",IF([1]Source!G3660&lt;&gt;"Новый раздел", [1]Source!G3660, ""))</f>
        <v>Итого по разделу: Уход за водоотводными лотками( 1480,34М )</v>
      </c>
      <c r="B3345" s="42"/>
      <c r="C3345" s="42"/>
      <c r="D3345" s="42"/>
      <c r="E3345" s="42"/>
      <c r="F3345" s="42"/>
      <c r="G3345" s="42"/>
      <c r="H3345" s="42"/>
      <c r="I3345" s="43">
        <f>SUM(AA3336:AA3344)</f>
        <v>1177598.6299999999</v>
      </c>
      <c r="J3345" s="44"/>
      <c r="K3345" s="47"/>
      <c r="L3345" s="38">
        <f>I3345</f>
        <v>1177598.6299999999</v>
      </c>
      <c r="M3345" s="2">
        <f>ROUND(I3345*$I$4874,2)</f>
        <v>850469.79</v>
      </c>
      <c r="N3345" s="2">
        <f>ROUND(M3345*1.2/105*100,2)</f>
        <v>971965.47</v>
      </c>
      <c r="O3345" s="2">
        <f>ROUND(N3345*0.05,2)</f>
        <v>48598.27</v>
      </c>
      <c r="P3345" s="2">
        <f>N3345+O3345</f>
        <v>1020563.74</v>
      </c>
      <c r="Q3345" s="3">
        <v>99</v>
      </c>
      <c r="R3345">
        <v>2</v>
      </c>
      <c r="S3345" s="2">
        <v>0</v>
      </c>
    </row>
    <row r="3346" spans="1:33" x14ac:dyDescent="0.2">
      <c r="M3346"/>
      <c r="N3346"/>
      <c r="O3346"/>
      <c r="P3346"/>
      <c r="Q3346"/>
    </row>
    <row r="3347" spans="1:33" x14ac:dyDescent="0.2">
      <c r="M3347"/>
      <c r="N3347"/>
      <c r="O3347"/>
      <c r="P3347"/>
      <c r="Q3347"/>
    </row>
    <row r="3348" spans="1:33" ht="16.5" x14ac:dyDescent="0.25">
      <c r="A3348" s="29" t="str">
        <f>CONCATENATE("Раздел: ",IF([1]Source!G3690&lt;&gt;"Новый раздел", [1]Source!G3690, ""))</f>
        <v>Раздел: Содержание информационных стендов и указателей ( 73шт.)</v>
      </c>
      <c r="B3348" s="29"/>
      <c r="C3348" s="29"/>
      <c r="D3348" s="29"/>
      <c r="E3348" s="29"/>
      <c r="F3348" s="29"/>
      <c r="G3348" s="29"/>
      <c r="H3348" s="29"/>
      <c r="I3348" s="29"/>
      <c r="J3348" s="29"/>
      <c r="K3348" s="29"/>
      <c r="M3348"/>
      <c r="N3348"/>
      <c r="O3348"/>
      <c r="P3348"/>
      <c r="Q3348"/>
    </row>
    <row r="3349" spans="1:33" ht="14.25" x14ac:dyDescent="0.2">
      <c r="A3349" s="31">
        <v>427</v>
      </c>
      <c r="B3349" s="31" t="str">
        <f>[1]Source!F3694</f>
        <v>5.3-1101-8-1/1</v>
      </c>
      <c r="C3349" s="31" t="str">
        <f>[1]Source!G3694</f>
        <v>Мытье информационных щитов</v>
      </c>
      <c r="D3349" s="32" t="str">
        <f>[1]Source!H3694</f>
        <v>100 м2</v>
      </c>
      <c r="E3349" s="4">
        <f>[1]Source!I3694</f>
        <v>0.38100000000000001</v>
      </c>
      <c r="F3349" s="33"/>
      <c r="G3349" s="34"/>
      <c r="H3349" s="4"/>
      <c r="I3349" s="4"/>
      <c r="J3349" s="33"/>
      <c r="K3349" s="33"/>
      <c r="M3349"/>
      <c r="N3349"/>
      <c r="O3349"/>
      <c r="P3349"/>
      <c r="Q3349"/>
      <c r="AB3349">
        <f>ROUND(([1]Source!BZ3694/100)*ROUND(([1]Source!AF3694*[1]Source!AV3694)*[1]Source!I3694, 2), 2)</f>
        <v>3189.77</v>
      </c>
      <c r="AC3349">
        <f>[1]Source!X3694</f>
        <v>3189.77</v>
      </c>
      <c r="AD3349">
        <f>ROUND(([1]Source!CA3694/100)*ROUND(([1]Source!AF3694*[1]Source!AV3694)*[1]Source!I3694, 2), 2)</f>
        <v>455.68</v>
      </c>
      <c r="AE3349">
        <f>[1]Source!Y3694</f>
        <v>455.68</v>
      </c>
      <c r="AF3349">
        <f>ROUND((175/100)*ROUND(([1]Source!AE3694*[1]Source!AV3694)*[1]Source!I3694, 2), 2)</f>
        <v>0</v>
      </c>
      <c r="AG3349">
        <f>ROUND((108/100)*ROUND([1]Source!CS3694*[1]Source!I3694, 2), 2)</f>
        <v>0</v>
      </c>
    </row>
    <row r="3350" spans="1:33" x14ac:dyDescent="0.2">
      <c r="C3350" s="40" t="str">
        <f>"Объем: "&amp;[1]Source!I3694&amp;"=38,1/"&amp;"100"</f>
        <v>Объем: 0,381=38,1/100</v>
      </c>
      <c r="M3350"/>
      <c r="N3350"/>
      <c r="O3350"/>
      <c r="P3350"/>
      <c r="Q3350"/>
    </row>
    <row r="3351" spans="1:33" ht="14.25" x14ac:dyDescent="0.2">
      <c r="A3351" s="31"/>
      <c r="B3351" s="31"/>
      <c r="C3351" s="31" t="s">
        <v>34</v>
      </c>
      <c r="D3351" s="32"/>
      <c r="E3351" s="4"/>
      <c r="F3351" s="33">
        <f>[1]Source!AO3694</f>
        <v>996.68</v>
      </c>
      <c r="G3351" s="34" t="str">
        <f>[1]Source!DG3694</f>
        <v>)*1*12</v>
      </c>
      <c r="H3351" s="4">
        <f>[1]Source!AV3694</f>
        <v>1</v>
      </c>
      <c r="I3351" s="4">
        <f>IF([1]Source!BA3694&lt;&gt; 0, [1]Source!BA3694, 1)</f>
        <v>1</v>
      </c>
      <c r="J3351" s="33">
        <f>[1]Source!S3694</f>
        <v>4556.82</v>
      </c>
      <c r="K3351" s="33"/>
      <c r="M3351"/>
      <c r="N3351"/>
      <c r="O3351"/>
      <c r="P3351"/>
      <c r="Q3351"/>
    </row>
    <row r="3352" spans="1:33" ht="14.25" x14ac:dyDescent="0.2">
      <c r="A3352" s="31"/>
      <c r="B3352" s="31"/>
      <c r="C3352" s="31" t="s">
        <v>47</v>
      </c>
      <c r="D3352" s="32"/>
      <c r="E3352" s="4"/>
      <c r="F3352" s="33">
        <f>[1]Source!AL3694</f>
        <v>2.16</v>
      </c>
      <c r="G3352" s="34" t="str">
        <f>[1]Source!DD3694</f>
        <v>)*1*12</v>
      </c>
      <c r="H3352" s="4">
        <f>[1]Source!AW3694</f>
        <v>1</v>
      </c>
      <c r="I3352" s="4">
        <f>IF([1]Source!BC3694&lt;&gt; 0, [1]Source!BC3694, 1)</f>
        <v>1</v>
      </c>
      <c r="J3352" s="33">
        <f>[1]Source!P3694</f>
        <v>9.8800000000000008</v>
      </c>
      <c r="K3352" s="33"/>
      <c r="M3352"/>
      <c r="N3352"/>
      <c r="O3352"/>
      <c r="P3352"/>
      <c r="Q3352"/>
    </row>
    <row r="3353" spans="1:33" ht="14.25" x14ac:dyDescent="0.2">
      <c r="A3353" s="31" t="s">
        <v>166</v>
      </c>
      <c r="B3353" s="31" t="str">
        <f>[1]Source!F3695</f>
        <v>21.1-25-13</v>
      </c>
      <c r="C3353" s="31" t="str">
        <f>[1]Source!G3695</f>
        <v>Вода</v>
      </c>
      <c r="D3353" s="32" t="str">
        <f>[1]Source!H3695</f>
        <v>м3</v>
      </c>
      <c r="E3353" s="4">
        <f>[1]Source!I3695</f>
        <v>-6.8580000000000002E-2</v>
      </c>
      <c r="F3353" s="33">
        <f>[1]Source!AK3695</f>
        <v>42.44</v>
      </c>
      <c r="G3353" s="39" t="s">
        <v>134</v>
      </c>
      <c r="H3353" s="4">
        <f>[1]Source!AW3695</f>
        <v>1</v>
      </c>
      <c r="I3353" s="4">
        <f>IF([1]Source!BC3695&lt;&gt; 0, [1]Source!BC3695, 1)</f>
        <v>1</v>
      </c>
      <c r="J3353" s="33">
        <f>[1]Source!O3695</f>
        <v>-2.91</v>
      </c>
      <c r="K3353" s="33"/>
      <c r="M3353"/>
      <c r="N3353"/>
      <c r="O3353"/>
      <c r="P3353"/>
      <c r="Q3353"/>
      <c r="AB3353">
        <f>ROUND(([1]Source!BZ3695/100)*ROUND(([1]Source!AF3695*[1]Source!AV3695)*[1]Source!I3695, 2), 2)</f>
        <v>0</v>
      </c>
      <c r="AC3353">
        <f>[1]Source!X3695</f>
        <v>0</v>
      </c>
      <c r="AD3353">
        <f>ROUND(([1]Source!CA3695/100)*ROUND(([1]Source!AF3695*[1]Source!AV3695)*[1]Source!I3695, 2), 2)</f>
        <v>0</v>
      </c>
      <c r="AE3353">
        <f>[1]Source!Y3695</f>
        <v>0</v>
      </c>
      <c r="AF3353">
        <f>ROUND((175/100)*ROUND(([1]Source!AE3695*[1]Source!AV3695)*[1]Source!I3695, 2), 2)</f>
        <v>0</v>
      </c>
      <c r="AG3353">
        <f>ROUND((108/100)*ROUND([1]Source!CS3695*[1]Source!I3695, 2), 2)</f>
        <v>0</v>
      </c>
    </row>
    <row r="3354" spans="1:33" ht="14.25" x14ac:dyDescent="0.2">
      <c r="A3354" s="31"/>
      <c r="B3354" s="31"/>
      <c r="C3354" s="31" t="s">
        <v>40</v>
      </c>
      <c r="D3354" s="32" t="s">
        <v>39</v>
      </c>
      <c r="E3354" s="4">
        <f>[1]Source!AT3694</f>
        <v>70</v>
      </c>
      <c r="F3354" s="33"/>
      <c r="G3354" s="34"/>
      <c r="H3354" s="4"/>
      <c r="I3354" s="4"/>
      <c r="J3354" s="33">
        <f>SUM(AC3349:AC3353)</f>
        <v>3189.77</v>
      </c>
      <c r="K3354" s="33"/>
      <c r="M3354"/>
      <c r="N3354"/>
      <c r="O3354"/>
      <c r="P3354"/>
      <c r="Q3354"/>
    </row>
    <row r="3355" spans="1:33" ht="14.25" x14ac:dyDescent="0.2">
      <c r="A3355" s="31"/>
      <c r="B3355" s="31"/>
      <c r="C3355" s="31" t="s">
        <v>41</v>
      </c>
      <c r="D3355" s="32" t="s">
        <v>39</v>
      </c>
      <c r="E3355" s="4">
        <f>[1]Source!AU3694</f>
        <v>10</v>
      </c>
      <c r="F3355" s="33"/>
      <c r="G3355" s="34"/>
      <c r="H3355" s="4"/>
      <c r="I3355" s="4"/>
      <c r="J3355" s="33">
        <f>SUM(AE3349:AE3354)</f>
        <v>455.68</v>
      </c>
      <c r="K3355" s="33"/>
      <c r="M3355"/>
      <c r="N3355"/>
      <c r="O3355"/>
      <c r="P3355"/>
      <c r="Q3355"/>
    </row>
    <row r="3356" spans="1:33" ht="14.25" x14ac:dyDescent="0.2">
      <c r="A3356" s="31"/>
      <c r="B3356" s="31"/>
      <c r="C3356" s="31" t="s">
        <v>42</v>
      </c>
      <c r="D3356" s="32" t="s">
        <v>43</v>
      </c>
      <c r="E3356" s="4">
        <f>[1]Source!AQ3694</f>
        <v>4.0199999999999996</v>
      </c>
      <c r="F3356" s="33"/>
      <c r="G3356" s="34" t="str">
        <f>[1]Source!DI3694</f>
        <v>)*1*12</v>
      </c>
      <c r="H3356" s="4">
        <f>[1]Source!AV3694</f>
        <v>1</v>
      </c>
      <c r="I3356" s="4"/>
      <c r="J3356" s="33"/>
      <c r="K3356" s="33">
        <f>[1]Source!U3694</f>
        <v>18.379439999999999</v>
      </c>
      <c r="M3356"/>
      <c r="N3356"/>
      <c r="O3356"/>
      <c r="P3356"/>
      <c r="Q3356"/>
    </row>
    <row r="3357" spans="1:33" ht="15" x14ac:dyDescent="0.25">
      <c r="A3357" s="35"/>
      <c r="B3357" s="35"/>
      <c r="C3357" s="35"/>
      <c r="D3357" s="35"/>
      <c r="E3357" s="35"/>
      <c r="F3357" s="35"/>
      <c r="G3357" s="35"/>
      <c r="H3357" s="35"/>
      <c r="I3357" s="36">
        <f>J3351+J3352+J3354+J3355+SUM(J3353:J3353)</f>
        <v>8209.24</v>
      </c>
      <c r="J3357" s="36"/>
      <c r="K3357" s="37">
        <f>IF([1]Source!I3694&lt;&gt;0, ROUND(I3357/[1]Source!I3694, 2), 0)</f>
        <v>21546.560000000001</v>
      </c>
      <c r="M3357"/>
      <c r="N3357"/>
      <c r="O3357"/>
      <c r="P3357"/>
      <c r="Q3357"/>
      <c r="AA3357" s="38">
        <f>I3357</f>
        <v>8209.24</v>
      </c>
    </row>
    <row r="3358" spans="1:33" x14ac:dyDescent="0.2">
      <c r="M3358"/>
      <c r="N3358"/>
      <c r="O3358"/>
      <c r="P3358"/>
      <c r="Q3358"/>
    </row>
    <row r="3359" spans="1:33" ht="15" x14ac:dyDescent="0.25">
      <c r="A3359" s="42" t="str">
        <f>CONCATENATE("Итого по разделу: ",IF([1]Source!G3697&lt;&gt;"Новый раздел", [1]Source!G3697, ""))</f>
        <v>Итого по разделу: Содержание информационных стендов и указателей ( 73шт.)</v>
      </c>
      <c r="B3359" s="42"/>
      <c r="C3359" s="42"/>
      <c r="D3359" s="42"/>
      <c r="E3359" s="42"/>
      <c r="F3359" s="42"/>
      <c r="G3359" s="42"/>
      <c r="H3359" s="42"/>
      <c r="I3359" s="43">
        <f>SUM(AA3348:AA3358)</f>
        <v>8209.24</v>
      </c>
      <c r="J3359" s="44"/>
      <c r="K3359" s="47"/>
      <c r="L3359" s="38">
        <f>I3359</f>
        <v>8209.24</v>
      </c>
      <c r="M3359" s="2">
        <f>ROUND(I3359*$I$4874,2)</f>
        <v>5928.77</v>
      </c>
      <c r="N3359" s="2">
        <f>ROUND(M3359*1.2/105*100,2)</f>
        <v>6775.74</v>
      </c>
      <c r="O3359" s="2">
        <f>ROUND(N3359*0.05,2)</f>
        <v>338.79</v>
      </c>
      <c r="P3359" s="2">
        <f>N3359+O3359</f>
        <v>7114.53</v>
      </c>
      <c r="Q3359" s="3">
        <v>100</v>
      </c>
      <c r="R3359">
        <v>2</v>
      </c>
      <c r="S3359" s="2">
        <v>0</v>
      </c>
    </row>
    <row r="3360" spans="1:33" x14ac:dyDescent="0.2">
      <c r="M3360"/>
      <c r="N3360"/>
      <c r="O3360"/>
      <c r="P3360"/>
      <c r="Q3360"/>
    </row>
    <row r="3361" spans="1:33" x14ac:dyDescent="0.2">
      <c r="M3361"/>
      <c r="N3361"/>
      <c r="O3361"/>
      <c r="P3361"/>
      <c r="Q3361"/>
    </row>
    <row r="3362" spans="1:33" ht="16.5" x14ac:dyDescent="0.25">
      <c r="A3362" s="29" t="str">
        <f>CONCATENATE("Раздел: ",IF([1]Source!G3727&lt;&gt;"Новый раздел", [1]Source!G3727, ""))</f>
        <v>Раздел: Зенитные фонари</v>
      </c>
      <c r="B3362" s="29"/>
      <c r="C3362" s="29"/>
      <c r="D3362" s="29"/>
      <c r="E3362" s="29"/>
      <c r="F3362" s="29"/>
      <c r="G3362" s="29"/>
      <c r="H3362" s="29"/>
      <c r="I3362" s="29"/>
      <c r="J3362" s="29"/>
      <c r="K3362" s="29"/>
      <c r="M3362"/>
      <c r="N3362"/>
      <c r="O3362"/>
      <c r="P3362"/>
      <c r="Q3362"/>
    </row>
    <row r="3363" spans="1:33" ht="14.25" x14ac:dyDescent="0.2">
      <c r="A3363" s="31">
        <v>428</v>
      </c>
      <c r="B3363" s="31" t="str">
        <f>[1]Source!F3731</f>
        <v>калькуляция</v>
      </c>
      <c r="C3363" s="31" t="str">
        <f>[1]Source!G3731</f>
        <v>Мытье зенитных фонарей</v>
      </c>
      <c r="D3363" s="32" t="str">
        <f>[1]Source!H3731</f>
        <v>м2</v>
      </c>
      <c r="E3363" s="4">
        <f>[1]Source!I3731</f>
        <v>381.32</v>
      </c>
      <c r="F3363" s="33"/>
      <c r="G3363" s="34"/>
      <c r="H3363" s="4"/>
      <c r="I3363" s="4"/>
      <c r="J3363" s="33"/>
      <c r="K3363" s="33"/>
      <c r="M3363"/>
      <c r="N3363"/>
      <c r="O3363"/>
      <c r="P3363"/>
      <c r="Q3363"/>
      <c r="AB3363">
        <f>ROUND(([1]Source!BZ3731/100)*ROUND(([1]Source!AF3731*[1]Source!AV3731)*[1]Source!I3731, 2), 2)</f>
        <v>0</v>
      </c>
      <c r="AC3363">
        <f>[1]Source!X3731</f>
        <v>0</v>
      </c>
      <c r="AD3363">
        <f>ROUND(([1]Source!CA3731/100)*ROUND(([1]Source!AF3731*[1]Source!AV3731)*[1]Source!I3731, 2), 2)</f>
        <v>0</v>
      </c>
      <c r="AE3363">
        <f>[1]Source!Y3731</f>
        <v>0</v>
      </c>
      <c r="AF3363">
        <f>ROUND((175/100)*ROUND(([1]Source!AE3731*[1]Source!AV3731)*[1]Source!I3731, 2), 2)</f>
        <v>0</v>
      </c>
      <c r="AG3363">
        <f>ROUND((108/100)*ROUND([1]Source!CS3731*[1]Source!I3731, 2), 2)</f>
        <v>0</v>
      </c>
    </row>
    <row r="3364" spans="1:33" ht="14.25" x14ac:dyDescent="0.2">
      <c r="A3364" s="31"/>
      <c r="B3364" s="31"/>
      <c r="C3364" s="31" t="s">
        <v>34</v>
      </c>
      <c r="D3364" s="32"/>
      <c r="E3364" s="4"/>
      <c r="F3364" s="33">
        <f>[1]Source!AO3731</f>
        <v>7.11</v>
      </c>
      <c r="G3364" s="34" t="str">
        <f>[1]Source!DG3731</f>
        <v>)*1*58</v>
      </c>
      <c r="H3364" s="4">
        <f>[1]Source!AV3731</f>
        <v>1</v>
      </c>
      <c r="I3364" s="4">
        <f>IF([1]Source!BA3731&lt;&gt; 0, [1]Source!BA3731, 1)</f>
        <v>1</v>
      </c>
      <c r="J3364" s="33">
        <f>[1]Source!S3731</f>
        <v>157248.74</v>
      </c>
      <c r="K3364" s="33"/>
      <c r="M3364"/>
      <c r="N3364"/>
      <c r="O3364"/>
      <c r="P3364"/>
      <c r="Q3364"/>
    </row>
    <row r="3365" spans="1:33" ht="28.5" x14ac:dyDescent="0.2">
      <c r="A3365" s="31" t="s">
        <v>167</v>
      </c>
      <c r="B3365" s="31" t="str">
        <f>[1]Source!F3732</f>
        <v>цена поставщика</v>
      </c>
      <c r="C3365" s="31" t="str">
        <f>[1]Source!G3732</f>
        <v>Crystal Optic средство для мытья стекол и зеркал, 5 л, Prosept 114-5</v>
      </c>
      <c r="D3365" s="32" t="str">
        <f>[1]Source!H3732</f>
        <v>л</v>
      </c>
      <c r="E3365" s="4">
        <f>[1]Source!I3732</f>
        <v>221.16560000000001</v>
      </c>
      <c r="F3365" s="33">
        <f>[1]Source!AK3732</f>
        <v>120.33</v>
      </c>
      <c r="G3365" s="39" t="s">
        <v>121</v>
      </c>
      <c r="H3365" s="4">
        <f>[1]Source!AW3732</f>
        <v>1</v>
      </c>
      <c r="I3365" s="4">
        <f>IF([1]Source!BC3732&lt;&gt; 0, [1]Source!BC3732, 1)</f>
        <v>1</v>
      </c>
      <c r="J3365" s="33">
        <f>[1]Source!O3732</f>
        <v>26612.86</v>
      </c>
      <c r="K3365" s="33"/>
      <c r="M3365"/>
      <c r="N3365"/>
      <c r="O3365"/>
      <c r="P3365"/>
      <c r="Q3365"/>
      <c r="AB3365">
        <f>ROUND(([1]Source!BZ3732/100)*ROUND(([1]Source!AF3732*[1]Source!AV3732)*[1]Source!I3732, 2), 2)</f>
        <v>0</v>
      </c>
      <c r="AC3365">
        <f>[1]Source!X3732</f>
        <v>0</v>
      </c>
      <c r="AD3365">
        <f>ROUND(([1]Source!CA3732/100)*ROUND(([1]Source!AF3732*[1]Source!AV3732)*[1]Source!I3732, 2), 2)</f>
        <v>0</v>
      </c>
      <c r="AE3365">
        <f>[1]Source!Y3732</f>
        <v>0</v>
      </c>
      <c r="AF3365">
        <f>ROUND((175/100)*ROUND(([1]Source!AE3732*[1]Source!AV3732)*[1]Source!I3732, 2), 2)</f>
        <v>0</v>
      </c>
      <c r="AG3365">
        <f>ROUND((108/100)*ROUND([1]Source!CS3732*[1]Source!I3732, 2), 2)</f>
        <v>0</v>
      </c>
    </row>
    <row r="3366" spans="1:33" ht="15" x14ac:dyDescent="0.25">
      <c r="A3366" s="35"/>
      <c r="B3366" s="35"/>
      <c r="C3366" s="35"/>
      <c r="D3366" s="35"/>
      <c r="E3366" s="35"/>
      <c r="F3366" s="35"/>
      <c r="G3366" s="35"/>
      <c r="H3366" s="35"/>
      <c r="I3366" s="36">
        <f>J3364+SUM(J3365:J3365)</f>
        <v>183861.59999999998</v>
      </c>
      <c r="J3366" s="36"/>
      <c r="K3366" s="37">
        <f>IF([1]Source!I3731&lt;&gt;0, ROUND(I3366/[1]Source!I3731, 2), 0)</f>
        <v>482.17</v>
      </c>
      <c r="M3366"/>
      <c r="N3366"/>
      <c r="O3366"/>
      <c r="P3366"/>
      <c r="Q3366"/>
      <c r="AA3366" s="38">
        <f>I3366</f>
        <v>183861.59999999998</v>
      </c>
    </row>
    <row r="3367" spans="1:33" x14ac:dyDescent="0.2">
      <c r="M3367"/>
      <c r="N3367"/>
      <c r="O3367"/>
      <c r="P3367"/>
      <c r="Q3367"/>
    </row>
    <row r="3368" spans="1:33" ht="15" x14ac:dyDescent="0.25">
      <c r="A3368" s="42" t="str">
        <f>CONCATENATE("Итого по разделу: ",IF([1]Source!G3734&lt;&gt;"Новый раздел", [1]Source!G3734, ""))</f>
        <v>Итого по разделу: Зенитные фонари</v>
      </c>
      <c r="B3368" s="42"/>
      <c r="C3368" s="42"/>
      <c r="D3368" s="42"/>
      <c r="E3368" s="42"/>
      <c r="F3368" s="42"/>
      <c r="G3368" s="42"/>
      <c r="H3368" s="42"/>
      <c r="I3368" s="43">
        <f>SUM(AA3362:AA3367)</f>
        <v>183861.59999999998</v>
      </c>
      <c r="J3368" s="44"/>
      <c r="K3368" s="47"/>
      <c r="L3368" s="38">
        <f>I3368</f>
        <v>183861.59999999998</v>
      </c>
      <c r="M3368" s="2">
        <f>ROUND(I3368*$I$4874,2)</f>
        <v>132786.10999999999</v>
      </c>
      <c r="N3368" s="2">
        <f>ROUND(M3368*1.2/105*100,2)</f>
        <v>151755.54999999999</v>
      </c>
      <c r="O3368" s="2">
        <f>ROUND(N3368*0.05,2)</f>
        <v>7587.78</v>
      </c>
      <c r="P3368" s="2">
        <f>N3368+O3368</f>
        <v>159343.32999999999</v>
      </c>
      <c r="Q3368" s="3">
        <v>101</v>
      </c>
      <c r="R3368">
        <v>2</v>
      </c>
      <c r="S3368" s="2">
        <v>0</v>
      </c>
    </row>
    <row r="3369" spans="1:33" x14ac:dyDescent="0.2">
      <c r="M3369"/>
      <c r="N3369"/>
      <c r="O3369"/>
      <c r="P3369"/>
      <c r="Q3369"/>
    </row>
    <row r="3370" spans="1:33" x14ac:dyDescent="0.2">
      <c r="M3370"/>
      <c r="N3370"/>
      <c r="O3370"/>
      <c r="P3370"/>
      <c r="Q3370"/>
    </row>
    <row r="3371" spans="1:33" ht="16.5" x14ac:dyDescent="0.25">
      <c r="A3371" s="29" t="str">
        <f>CONCATENATE("Раздел: ",IF([1]Source!G3764&lt;&gt;"Новый раздел", [1]Source!G3764, ""))</f>
        <v>Раздел: Велопарковки</v>
      </c>
      <c r="B3371" s="29"/>
      <c r="C3371" s="29"/>
      <c r="D3371" s="29"/>
      <c r="E3371" s="29"/>
      <c r="F3371" s="29"/>
      <c r="G3371" s="29"/>
      <c r="H3371" s="29"/>
      <c r="I3371" s="29"/>
      <c r="J3371" s="29"/>
      <c r="K3371" s="29"/>
      <c r="M3371"/>
      <c r="N3371"/>
      <c r="O3371"/>
      <c r="P3371"/>
      <c r="Q3371"/>
    </row>
    <row r="3372" spans="1:33" ht="42.75" x14ac:dyDescent="0.2">
      <c r="A3372" s="31">
        <v>429</v>
      </c>
      <c r="B3372" s="31" t="str">
        <f>[1]Source!F3768</f>
        <v>калькуляция</v>
      </c>
      <c r="C3372" s="31" t="str">
        <f>[1]Source!G3768</f>
        <v>Промывка конструктивных элементов велопарковок из нержавеющей стали водой</v>
      </c>
      <c r="D3372" s="32" t="str">
        <f>[1]Source!H3768</f>
        <v>шт.</v>
      </c>
      <c r="E3372" s="4">
        <f>[1]Source!I3768</f>
        <v>2</v>
      </c>
      <c r="F3372" s="33"/>
      <c r="G3372" s="34"/>
      <c r="H3372" s="4"/>
      <c r="I3372" s="4"/>
      <c r="J3372" s="33"/>
      <c r="K3372" s="33"/>
      <c r="M3372"/>
      <c r="N3372"/>
      <c r="O3372"/>
      <c r="P3372"/>
      <c r="Q3372"/>
      <c r="AB3372">
        <f>ROUND(([1]Source!BZ3768/100)*ROUND(([1]Source!AF3768*[1]Source!AV3768)*[1]Source!I3768, 2), 2)</f>
        <v>0</v>
      </c>
      <c r="AC3372">
        <f>[1]Source!X3768</f>
        <v>0</v>
      </c>
      <c r="AD3372">
        <f>ROUND(([1]Source!CA3768/100)*ROUND(([1]Source!AF3768*[1]Source!AV3768)*[1]Source!I3768, 2), 2)</f>
        <v>0</v>
      </c>
      <c r="AE3372">
        <f>[1]Source!Y3768</f>
        <v>0</v>
      </c>
      <c r="AF3372">
        <f>ROUND((175/100)*ROUND(([1]Source!AE3768*[1]Source!AV3768)*[1]Source!I3768, 2), 2)</f>
        <v>0</v>
      </c>
      <c r="AG3372">
        <f>ROUND((108/100)*ROUND([1]Source!CS3768*[1]Source!I3768, 2), 2)</f>
        <v>0</v>
      </c>
    </row>
    <row r="3373" spans="1:33" ht="14.25" x14ac:dyDescent="0.2">
      <c r="A3373" s="31"/>
      <c r="B3373" s="31"/>
      <c r="C3373" s="31" t="s">
        <v>34</v>
      </c>
      <c r="D3373" s="32"/>
      <c r="E3373" s="4"/>
      <c r="F3373" s="33">
        <f>[1]Source!AO3768</f>
        <v>3.56</v>
      </c>
      <c r="G3373" s="34" t="str">
        <f>[1]Source!DG3768</f>
        <v>)*1*12</v>
      </c>
      <c r="H3373" s="4">
        <f>[1]Source!AV3768</f>
        <v>1</v>
      </c>
      <c r="I3373" s="4">
        <f>IF([1]Source!BA3768&lt;&gt; 0, [1]Source!BA3768, 1)</f>
        <v>1</v>
      </c>
      <c r="J3373" s="33">
        <f>[1]Source!S3768</f>
        <v>85.44</v>
      </c>
      <c r="K3373" s="33"/>
      <c r="M3373"/>
      <c r="N3373"/>
      <c r="O3373"/>
      <c r="P3373"/>
      <c r="Q3373"/>
    </row>
    <row r="3374" spans="1:33" ht="15" x14ac:dyDescent="0.25">
      <c r="A3374" s="35"/>
      <c r="B3374" s="35"/>
      <c r="C3374" s="35"/>
      <c r="D3374" s="35"/>
      <c r="E3374" s="35"/>
      <c r="F3374" s="35"/>
      <c r="G3374" s="35"/>
      <c r="H3374" s="35"/>
      <c r="I3374" s="36">
        <f>J3373</f>
        <v>85.44</v>
      </c>
      <c r="J3374" s="36"/>
      <c r="K3374" s="37">
        <f>IF([1]Source!I3768&lt;&gt;0, ROUND(I3374/[1]Source!I3768, 2), 0)</f>
        <v>42.72</v>
      </c>
      <c r="M3374"/>
      <c r="N3374"/>
      <c r="O3374"/>
      <c r="P3374"/>
      <c r="Q3374"/>
      <c r="AA3374" s="38">
        <f>I3374</f>
        <v>85.44</v>
      </c>
    </row>
    <row r="3375" spans="1:33" ht="42.75" x14ac:dyDescent="0.2">
      <c r="A3375" s="31">
        <v>430</v>
      </c>
      <c r="B3375" s="31" t="str">
        <f>[1]Source!F3769</f>
        <v>калькуляция</v>
      </c>
      <c r="C3375" s="31" t="str">
        <f>[1]Source!G3769</f>
        <v>Промывка конструктивных элементов велопорковок из нержавеющей стали с применением химических средств</v>
      </c>
      <c r="D3375" s="32" t="str">
        <f>[1]Source!H3769</f>
        <v>шт.</v>
      </c>
      <c r="E3375" s="4">
        <f>[1]Source!I3769</f>
        <v>2</v>
      </c>
      <c r="F3375" s="33"/>
      <c r="G3375" s="34"/>
      <c r="H3375" s="4"/>
      <c r="I3375" s="4"/>
      <c r="J3375" s="33"/>
      <c r="K3375" s="33"/>
      <c r="M3375"/>
      <c r="N3375"/>
      <c r="O3375"/>
      <c r="P3375"/>
      <c r="Q3375"/>
      <c r="AB3375">
        <f>ROUND(([1]Source!BZ3769/100)*ROUND(([1]Source!AF3769*[1]Source!AV3769)*[1]Source!I3769, 2), 2)</f>
        <v>0</v>
      </c>
      <c r="AC3375">
        <f>[1]Source!X3769</f>
        <v>0</v>
      </c>
      <c r="AD3375">
        <f>ROUND(([1]Source!CA3769/100)*ROUND(([1]Source!AF3769*[1]Source!AV3769)*[1]Source!I3769, 2), 2)</f>
        <v>0</v>
      </c>
      <c r="AE3375">
        <f>[1]Source!Y3769</f>
        <v>0</v>
      </c>
      <c r="AF3375">
        <f>ROUND((175/100)*ROUND(([1]Source!AE3769*[1]Source!AV3769)*[1]Source!I3769, 2), 2)</f>
        <v>0</v>
      </c>
      <c r="AG3375">
        <f>ROUND((108/100)*ROUND([1]Source!CS3769*[1]Source!I3769, 2), 2)</f>
        <v>0</v>
      </c>
    </row>
    <row r="3376" spans="1:33" ht="14.25" x14ac:dyDescent="0.2">
      <c r="A3376" s="31"/>
      <c r="B3376" s="31"/>
      <c r="C3376" s="31" t="s">
        <v>34</v>
      </c>
      <c r="D3376" s="32"/>
      <c r="E3376" s="4"/>
      <c r="F3376" s="33">
        <f>[1]Source!AO3769</f>
        <v>3.56</v>
      </c>
      <c r="G3376" s="34" t="str">
        <f>[1]Source!DG3769</f>
        <v>)*1*2</v>
      </c>
      <c r="H3376" s="4">
        <f>[1]Source!AV3769</f>
        <v>1</v>
      </c>
      <c r="I3376" s="4">
        <f>IF([1]Source!BA3769&lt;&gt; 0, [1]Source!BA3769, 1)</f>
        <v>1</v>
      </c>
      <c r="J3376" s="33">
        <f>[1]Source!S3769</f>
        <v>14.24</v>
      </c>
      <c r="K3376" s="33"/>
      <c r="M3376"/>
      <c r="N3376"/>
      <c r="O3376"/>
      <c r="P3376"/>
      <c r="Q3376"/>
    </row>
    <row r="3377" spans="1:33" ht="57" x14ac:dyDescent="0.2">
      <c r="A3377" s="31" t="s">
        <v>168</v>
      </c>
      <c r="B3377" s="31" t="str">
        <f>[1]Source!F3770</f>
        <v>цена поставщика</v>
      </c>
      <c r="C3377" s="31" t="str">
        <f>[1]Source!G3770</f>
        <v>Средство кислотное высококонцентрированное бактерицидное пенное для очистки и дезинфекции, типа "Мегасан"</v>
      </c>
      <c r="D3377" s="32" t="str">
        <f>[1]Source!H3770</f>
        <v>л</v>
      </c>
      <c r="E3377" s="4">
        <f>[1]Source!I3770</f>
        <v>0.08</v>
      </c>
      <c r="F3377" s="33">
        <f>[1]Source!AK3770</f>
        <v>435.83</v>
      </c>
      <c r="G3377" s="39" t="s">
        <v>102</v>
      </c>
      <c r="H3377" s="4">
        <f>[1]Source!AW3770</f>
        <v>1</v>
      </c>
      <c r="I3377" s="4">
        <f>IF([1]Source!BC3770&lt;&gt; 0, [1]Source!BC3770, 1)</f>
        <v>1</v>
      </c>
      <c r="J3377" s="33">
        <f>[1]Source!O3770</f>
        <v>34.869999999999997</v>
      </c>
      <c r="K3377" s="33"/>
      <c r="M3377"/>
      <c r="N3377"/>
      <c r="O3377"/>
      <c r="P3377"/>
      <c r="Q3377"/>
      <c r="AB3377">
        <f>ROUND(([1]Source!BZ3770/100)*ROUND(([1]Source!AF3770*[1]Source!AV3770)*[1]Source!I3770, 2), 2)</f>
        <v>0</v>
      </c>
      <c r="AC3377">
        <f>[1]Source!X3770</f>
        <v>0</v>
      </c>
      <c r="AD3377">
        <f>ROUND(([1]Source!CA3770/100)*ROUND(([1]Source!AF3770*[1]Source!AV3770)*[1]Source!I3770, 2), 2)</f>
        <v>0</v>
      </c>
      <c r="AE3377">
        <f>[1]Source!Y3770</f>
        <v>0</v>
      </c>
      <c r="AF3377">
        <f>ROUND((175/100)*ROUND(([1]Source!AE3770*[1]Source!AV3770)*[1]Source!I3770, 2), 2)</f>
        <v>0</v>
      </c>
      <c r="AG3377">
        <f>ROUND((108/100)*ROUND([1]Source!CS3770*[1]Source!I3770, 2), 2)</f>
        <v>0</v>
      </c>
    </row>
    <row r="3378" spans="1:33" ht="15" x14ac:dyDescent="0.25">
      <c r="A3378" s="35"/>
      <c r="B3378" s="35"/>
      <c r="C3378" s="35"/>
      <c r="D3378" s="35"/>
      <c r="E3378" s="35"/>
      <c r="F3378" s="35"/>
      <c r="G3378" s="35"/>
      <c r="H3378" s="35"/>
      <c r="I3378" s="36">
        <f>J3376+SUM(J3377:J3377)</f>
        <v>49.11</v>
      </c>
      <c r="J3378" s="36"/>
      <c r="K3378" s="37">
        <f>IF([1]Source!I3769&lt;&gt;0, ROUND(I3378/[1]Source!I3769, 2), 0)</f>
        <v>24.56</v>
      </c>
      <c r="M3378"/>
      <c r="N3378"/>
      <c r="O3378"/>
      <c r="P3378"/>
      <c r="Q3378"/>
      <c r="AA3378" s="38">
        <f>I3378</f>
        <v>49.11</v>
      </c>
    </row>
    <row r="3379" spans="1:33" x14ac:dyDescent="0.2">
      <c r="M3379"/>
      <c r="N3379"/>
      <c r="O3379"/>
      <c r="P3379"/>
      <c r="Q3379"/>
    </row>
    <row r="3380" spans="1:33" ht="15" x14ac:dyDescent="0.25">
      <c r="A3380" s="42" t="str">
        <f>CONCATENATE("Итого по разделу: ",IF([1]Source!G3772&lt;&gt;"Новый раздел", [1]Source!G3772, ""))</f>
        <v>Итого по разделу: Велопарковки</v>
      </c>
      <c r="B3380" s="42"/>
      <c r="C3380" s="42"/>
      <c r="D3380" s="42"/>
      <c r="E3380" s="42"/>
      <c r="F3380" s="42"/>
      <c r="G3380" s="42"/>
      <c r="H3380" s="42"/>
      <c r="I3380" s="43">
        <f>SUM(AA3371:AA3379)</f>
        <v>134.55000000000001</v>
      </c>
      <c r="J3380" s="44"/>
      <c r="K3380" s="47"/>
      <c r="L3380" s="38">
        <f>I3380</f>
        <v>134.55000000000001</v>
      </c>
      <c r="M3380" s="2">
        <f>ROUND(I3380*$I$4874,2)</f>
        <v>97.17</v>
      </c>
      <c r="N3380" s="2">
        <f>ROUND(M3380*1.2/105*100,2)</f>
        <v>111.05</v>
      </c>
      <c r="O3380" s="2">
        <f>ROUND(N3380*0.05,2)</f>
        <v>5.55</v>
      </c>
      <c r="P3380" s="2">
        <f>N3380+O3380</f>
        <v>116.6</v>
      </c>
      <c r="Q3380" s="3">
        <v>102</v>
      </c>
      <c r="R3380">
        <v>2</v>
      </c>
      <c r="S3380" s="2">
        <v>0</v>
      </c>
    </row>
    <row r="3381" spans="1:33" x14ac:dyDescent="0.2">
      <c r="M3381"/>
      <c r="N3381"/>
      <c r="O3381"/>
      <c r="P3381"/>
      <c r="Q3381"/>
    </row>
    <row r="3382" spans="1:33" x14ac:dyDescent="0.2">
      <c r="M3382"/>
      <c r="N3382"/>
      <c r="O3382"/>
      <c r="P3382"/>
      <c r="Q3382"/>
    </row>
    <row r="3383" spans="1:33" ht="16.5" x14ac:dyDescent="0.25">
      <c r="A3383" s="29" t="str">
        <f>CONCATENATE("Раздел: ",IF([1]Source!G3802&lt;&gt;"Новый раздел", [1]Source!G3802, ""))</f>
        <v>Раздел: Гранитные урны ( 5шт.)</v>
      </c>
      <c r="B3383" s="29"/>
      <c r="C3383" s="29"/>
      <c r="D3383" s="29"/>
      <c r="E3383" s="29"/>
      <c r="F3383" s="29"/>
      <c r="G3383" s="29"/>
      <c r="H3383" s="29"/>
      <c r="I3383" s="29"/>
      <c r="J3383" s="29"/>
      <c r="K3383" s="29"/>
      <c r="M3383"/>
      <c r="N3383"/>
      <c r="O3383"/>
      <c r="P3383"/>
      <c r="Q3383"/>
    </row>
    <row r="3384" spans="1:33" ht="14.25" x14ac:dyDescent="0.2">
      <c r="A3384" s="31">
        <v>431</v>
      </c>
      <c r="B3384" s="31" t="str">
        <f>[1]Source!F3806</f>
        <v>калькуляция</v>
      </c>
      <c r="C3384" s="31" t="str">
        <f>[1]Source!G3806</f>
        <v>Протирка гранитных урн</v>
      </c>
      <c r="D3384" s="32" t="str">
        <f>[1]Source!H3806</f>
        <v>м2</v>
      </c>
      <c r="E3384" s="4">
        <f>[1]Source!I3806</f>
        <v>5</v>
      </c>
      <c r="F3384" s="33"/>
      <c r="G3384" s="34"/>
      <c r="H3384" s="4"/>
      <c r="I3384" s="4"/>
      <c r="J3384" s="33"/>
      <c r="K3384" s="33"/>
      <c r="M3384"/>
      <c r="N3384"/>
      <c r="O3384"/>
      <c r="P3384"/>
      <c r="Q3384"/>
      <c r="AB3384">
        <f>ROUND(([1]Source!BZ3806/100)*ROUND(([1]Source!AF3806*[1]Source!AV3806)*[1]Source!I3806, 2), 2)</f>
        <v>0</v>
      </c>
      <c r="AC3384">
        <f>[1]Source!X3806</f>
        <v>0</v>
      </c>
      <c r="AD3384">
        <f>ROUND(([1]Source!CA3806/100)*ROUND(([1]Source!AF3806*[1]Source!AV3806)*[1]Source!I3806, 2), 2)</f>
        <v>0</v>
      </c>
      <c r="AE3384">
        <f>[1]Source!Y3806</f>
        <v>0</v>
      </c>
      <c r="AF3384">
        <f>ROUND((175/100)*ROUND(([1]Source!AE3806*[1]Source!AV3806)*[1]Source!I3806, 2), 2)</f>
        <v>0</v>
      </c>
      <c r="AG3384">
        <f>ROUND((108/100)*ROUND([1]Source!CS3806*[1]Source!I3806, 2), 2)</f>
        <v>0</v>
      </c>
    </row>
    <row r="3385" spans="1:33" ht="14.25" x14ac:dyDescent="0.2">
      <c r="A3385" s="31"/>
      <c r="B3385" s="31"/>
      <c r="C3385" s="31" t="s">
        <v>34</v>
      </c>
      <c r="D3385" s="32"/>
      <c r="E3385" s="4"/>
      <c r="F3385" s="33">
        <f>[1]Source!AO3806</f>
        <v>12.31</v>
      </c>
      <c r="G3385" s="34" t="str">
        <f>[1]Source!DG3806</f>
        <v>)*1*58</v>
      </c>
      <c r="H3385" s="4">
        <f>[1]Source!AV3806</f>
        <v>1</v>
      </c>
      <c r="I3385" s="4">
        <f>IF([1]Source!BA3806&lt;&gt; 0, [1]Source!BA3806, 1)</f>
        <v>1</v>
      </c>
      <c r="J3385" s="33">
        <f>[1]Source!S3806</f>
        <v>3569.9</v>
      </c>
      <c r="K3385" s="33"/>
      <c r="M3385"/>
      <c r="N3385"/>
      <c r="O3385"/>
      <c r="P3385"/>
      <c r="Q3385"/>
    </row>
    <row r="3386" spans="1:33" ht="57" x14ac:dyDescent="0.2">
      <c r="A3386" s="31" t="s">
        <v>169</v>
      </c>
      <c r="B3386" s="31" t="str">
        <f>[1]Source!F3807</f>
        <v>цена поставщика</v>
      </c>
      <c r="C3386" s="31" t="str">
        <f>[1]Source!G3807</f>
        <v>Средство жидкое концентрированное бактерицидное для дезинфекции и предстерилизационной очистки, типа "Аламинол"</v>
      </c>
      <c r="D3386" s="32" t="str">
        <f>[1]Source!H3807</f>
        <v>л</v>
      </c>
      <c r="E3386" s="4">
        <f>[1]Source!I3807</f>
        <v>0.26100000000000001</v>
      </c>
      <c r="F3386" s="33">
        <f>[1]Source!AK3807</f>
        <v>625</v>
      </c>
      <c r="G3386" s="39" t="s">
        <v>121</v>
      </c>
      <c r="H3386" s="4">
        <f>[1]Source!AW3807</f>
        <v>1</v>
      </c>
      <c r="I3386" s="4">
        <f>IF([1]Source!BC3807&lt;&gt; 0, [1]Source!BC3807, 1)</f>
        <v>1</v>
      </c>
      <c r="J3386" s="33">
        <f>[1]Source!O3807</f>
        <v>163.13</v>
      </c>
      <c r="K3386" s="33"/>
      <c r="M3386"/>
      <c r="N3386"/>
      <c r="O3386"/>
      <c r="P3386"/>
      <c r="Q3386"/>
      <c r="AB3386">
        <f>ROUND(([1]Source!BZ3807/100)*ROUND(([1]Source!AF3807*[1]Source!AV3807)*[1]Source!I3807, 2), 2)</f>
        <v>0</v>
      </c>
      <c r="AC3386">
        <f>[1]Source!X3807</f>
        <v>0</v>
      </c>
      <c r="AD3386">
        <f>ROUND(([1]Source!CA3807/100)*ROUND(([1]Source!AF3807*[1]Source!AV3807)*[1]Source!I3807, 2), 2)</f>
        <v>0</v>
      </c>
      <c r="AE3386">
        <f>[1]Source!Y3807</f>
        <v>0</v>
      </c>
      <c r="AF3386">
        <f>ROUND((175/100)*ROUND(([1]Source!AE3807*[1]Source!AV3807)*[1]Source!I3807, 2), 2)</f>
        <v>0</v>
      </c>
      <c r="AG3386">
        <f>ROUND((108/100)*ROUND([1]Source!CS3807*[1]Source!I3807, 2), 2)</f>
        <v>0</v>
      </c>
    </row>
    <row r="3387" spans="1:33" ht="15" x14ac:dyDescent="0.25">
      <c r="A3387" s="35"/>
      <c r="B3387" s="35"/>
      <c r="C3387" s="35"/>
      <c r="D3387" s="35"/>
      <c r="E3387" s="35"/>
      <c r="F3387" s="35"/>
      <c r="G3387" s="35"/>
      <c r="H3387" s="35"/>
      <c r="I3387" s="36">
        <f>J3385+SUM(J3386:J3386)</f>
        <v>3733.03</v>
      </c>
      <c r="J3387" s="36"/>
      <c r="K3387" s="37">
        <f>IF([1]Source!I3806&lt;&gt;0, ROUND(I3387/[1]Source!I3806, 2), 0)</f>
        <v>746.61</v>
      </c>
      <c r="M3387"/>
      <c r="N3387"/>
      <c r="O3387"/>
      <c r="P3387"/>
      <c r="Q3387"/>
      <c r="AA3387" s="38">
        <f>I3387</f>
        <v>3733.03</v>
      </c>
    </row>
    <row r="3388" spans="1:33" x14ac:dyDescent="0.2">
      <c r="M3388"/>
      <c r="N3388"/>
      <c r="O3388"/>
      <c r="P3388"/>
      <c r="Q3388"/>
    </row>
    <row r="3389" spans="1:33" ht="15" x14ac:dyDescent="0.25">
      <c r="A3389" s="42" t="str">
        <f>CONCATENATE("Итого по разделу: ",IF([1]Source!G3809&lt;&gt;"Новый раздел", [1]Source!G3809, ""))</f>
        <v>Итого по разделу: Гранитные урны ( 5шт.)</v>
      </c>
      <c r="B3389" s="42"/>
      <c r="C3389" s="42"/>
      <c r="D3389" s="42"/>
      <c r="E3389" s="42"/>
      <c r="F3389" s="42"/>
      <c r="G3389" s="42"/>
      <c r="H3389" s="42"/>
      <c r="I3389" s="43">
        <f>SUM(AA3383:AA3388)</f>
        <v>3733.03</v>
      </c>
      <c r="J3389" s="44"/>
      <c r="K3389" s="47"/>
      <c r="L3389" s="38">
        <f>I3389</f>
        <v>3733.03</v>
      </c>
      <c r="M3389" s="2">
        <f>ROUND(I3389*$I$4874,2)</f>
        <v>2696.02</v>
      </c>
      <c r="N3389" s="2">
        <f>ROUND(M3389*1.2/105*100,2)</f>
        <v>3081.17</v>
      </c>
      <c r="O3389" s="2">
        <f>ROUND(N3389*0.05,2)</f>
        <v>154.06</v>
      </c>
      <c r="P3389" s="2">
        <f>N3389+O3389</f>
        <v>3235.23</v>
      </c>
      <c r="Q3389" s="3">
        <v>103</v>
      </c>
      <c r="R3389">
        <v>2</v>
      </c>
      <c r="S3389" s="2">
        <v>0</v>
      </c>
    </row>
    <row r="3390" spans="1:33" x14ac:dyDescent="0.2">
      <c r="M3390"/>
      <c r="N3390"/>
      <c r="O3390"/>
      <c r="P3390"/>
      <c r="Q3390"/>
    </row>
    <row r="3391" spans="1:33" x14ac:dyDescent="0.2">
      <c r="M3391"/>
      <c r="N3391"/>
      <c r="O3391"/>
      <c r="P3391"/>
      <c r="Q3391"/>
    </row>
    <row r="3392" spans="1:33" ht="16.5" x14ac:dyDescent="0.25">
      <c r="A3392" s="29" t="str">
        <f>CONCATENATE("Раздел: ",IF([1]Source!G3839&lt;&gt;"Новый раздел", [1]Source!G3839, ""))</f>
        <v>Раздел: Нестационарные торговые объекты</v>
      </c>
      <c r="B3392" s="29"/>
      <c r="C3392" s="29"/>
      <c r="D3392" s="29"/>
      <c r="E3392" s="29"/>
      <c r="F3392" s="29"/>
      <c r="G3392" s="29"/>
      <c r="H3392" s="29"/>
      <c r="I3392" s="29"/>
      <c r="J3392" s="29"/>
      <c r="K3392" s="29"/>
      <c r="M3392"/>
      <c r="N3392"/>
      <c r="O3392"/>
      <c r="P3392"/>
      <c r="Q3392"/>
    </row>
    <row r="3393" spans="1:33" ht="14.25" x14ac:dyDescent="0.2">
      <c r="A3393" s="31">
        <v>432</v>
      </c>
      <c r="B3393" s="31" t="str">
        <f>[1]Source!F3843</f>
        <v>калькуляция</v>
      </c>
      <c r="C3393" s="31" t="str">
        <f>[1]Source!G3843</f>
        <v>Протирка электронных аппаратов</v>
      </c>
      <c r="D3393" s="32" t="str">
        <f>[1]Source!H3843</f>
        <v>м2</v>
      </c>
      <c r="E3393" s="4">
        <f>[1]Source!I3843</f>
        <v>114.1</v>
      </c>
      <c r="F3393" s="33"/>
      <c r="G3393" s="34"/>
      <c r="H3393" s="4"/>
      <c r="I3393" s="4"/>
      <c r="J3393" s="33"/>
      <c r="K3393" s="33"/>
      <c r="M3393"/>
      <c r="N3393"/>
      <c r="O3393"/>
      <c r="P3393"/>
      <c r="Q3393"/>
      <c r="AB3393">
        <f>ROUND(([1]Source!BZ3843/100)*ROUND(([1]Source!AF3843*[1]Source!AV3843)*[1]Source!I3843, 2), 2)</f>
        <v>0</v>
      </c>
      <c r="AC3393">
        <f>[1]Source!X3843</f>
        <v>0</v>
      </c>
      <c r="AD3393">
        <f>ROUND(([1]Source!CA3843/100)*ROUND(([1]Source!AF3843*[1]Source!AV3843)*[1]Source!I3843, 2), 2)</f>
        <v>0</v>
      </c>
      <c r="AE3393">
        <f>[1]Source!Y3843</f>
        <v>0</v>
      </c>
      <c r="AF3393">
        <f>ROUND((175/100)*ROUND(([1]Source!AE3843*[1]Source!AV3843)*[1]Source!I3843, 2), 2)</f>
        <v>0</v>
      </c>
      <c r="AG3393">
        <f>ROUND((108/100)*ROUND([1]Source!CS3843*[1]Source!I3843, 2), 2)</f>
        <v>0</v>
      </c>
    </row>
    <row r="3394" spans="1:33" ht="14.25" x14ac:dyDescent="0.2">
      <c r="A3394" s="31"/>
      <c r="B3394" s="31"/>
      <c r="C3394" s="31" t="s">
        <v>34</v>
      </c>
      <c r="D3394" s="32"/>
      <c r="E3394" s="4"/>
      <c r="F3394" s="33">
        <f>[1]Source!AO3843</f>
        <v>2.5099999999999998</v>
      </c>
      <c r="G3394" s="34" t="str">
        <f>[1]Source!DG3843</f>
        <v>)*1*58</v>
      </c>
      <c r="H3394" s="4">
        <f>[1]Source!AV3843</f>
        <v>1</v>
      </c>
      <c r="I3394" s="4">
        <f>IF([1]Source!BA3843&lt;&gt; 0, [1]Source!BA3843, 1)</f>
        <v>1</v>
      </c>
      <c r="J3394" s="33">
        <f>[1]Source!S3843</f>
        <v>16610.68</v>
      </c>
      <c r="K3394" s="33"/>
      <c r="M3394"/>
      <c r="N3394"/>
      <c r="O3394"/>
      <c r="P3394"/>
      <c r="Q3394"/>
    </row>
    <row r="3395" spans="1:33" ht="42.75" x14ac:dyDescent="0.2">
      <c r="A3395" s="31" t="s">
        <v>170</v>
      </c>
      <c r="B3395" s="31" t="str">
        <f>[1]Source!F3844</f>
        <v>цена поставщика</v>
      </c>
      <c r="C3395" s="31" t="str">
        <f>[1]Source!G3844</f>
        <v>Мегалан концентрированное жидкое щелочное средство для ухода за твёрдыми поверхностями,</v>
      </c>
      <c r="D3395" s="32" t="str">
        <f>[1]Source!H3844</f>
        <v>л</v>
      </c>
      <c r="E3395" s="4">
        <f>[1]Source!I3844</f>
        <v>3.3089</v>
      </c>
      <c r="F3395" s="33">
        <f>[1]Source!AK3844</f>
        <v>160.5</v>
      </c>
      <c r="G3395" s="39" t="s">
        <v>121</v>
      </c>
      <c r="H3395" s="4">
        <f>[1]Source!AW3844</f>
        <v>1</v>
      </c>
      <c r="I3395" s="4">
        <f>IF([1]Source!BC3844&lt;&gt; 0, [1]Source!BC3844, 1)</f>
        <v>1</v>
      </c>
      <c r="J3395" s="33">
        <f>[1]Source!O3844</f>
        <v>531.08000000000004</v>
      </c>
      <c r="K3395" s="33"/>
      <c r="M3395"/>
      <c r="N3395"/>
      <c r="O3395"/>
      <c r="P3395"/>
      <c r="Q3395"/>
      <c r="AB3395">
        <f>ROUND(([1]Source!BZ3844/100)*ROUND(([1]Source!AF3844*[1]Source!AV3844)*[1]Source!I3844, 2), 2)</f>
        <v>0</v>
      </c>
      <c r="AC3395">
        <f>[1]Source!X3844</f>
        <v>0</v>
      </c>
      <c r="AD3395">
        <f>ROUND(([1]Source!CA3844/100)*ROUND(([1]Source!AF3844*[1]Source!AV3844)*[1]Source!I3844, 2), 2)</f>
        <v>0</v>
      </c>
      <c r="AE3395">
        <f>[1]Source!Y3844</f>
        <v>0</v>
      </c>
      <c r="AF3395">
        <f>ROUND((175/100)*ROUND(([1]Source!AE3844*[1]Source!AV3844)*[1]Source!I3844, 2), 2)</f>
        <v>0</v>
      </c>
      <c r="AG3395">
        <f>ROUND((108/100)*ROUND([1]Source!CS3844*[1]Source!I3844, 2), 2)</f>
        <v>0</v>
      </c>
    </row>
    <row r="3396" spans="1:33" ht="15" x14ac:dyDescent="0.25">
      <c r="A3396" s="35"/>
      <c r="B3396" s="35"/>
      <c r="C3396" s="35"/>
      <c r="D3396" s="35"/>
      <c r="E3396" s="35"/>
      <c r="F3396" s="35"/>
      <c r="G3396" s="35"/>
      <c r="H3396" s="35"/>
      <c r="I3396" s="36">
        <f>J3394+SUM(J3395:J3395)</f>
        <v>17141.760000000002</v>
      </c>
      <c r="J3396" s="36"/>
      <c r="K3396" s="37">
        <f>IF([1]Source!I3843&lt;&gt;0, ROUND(I3396/[1]Source!I3843, 2), 0)</f>
        <v>150.22999999999999</v>
      </c>
      <c r="M3396"/>
      <c r="N3396"/>
      <c r="O3396"/>
      <c r="P3396"/>
      <c r="Q3396"/>
      <c r="AA3396" s="38">
        <f>I3396</f>
        <v>17141.760000000002</v>
      </c>
    </row>
    <row r="3397" spans="1:33" x14ac:dyDescent="0.2">
      <c r="M3397"/>
      <c r="N3397"/>
      <c r="O3397"/>
      <c r="P3397"/>
      <c r="Q3397"/>
    </row>
    <row r="3398" spans="1:33" ht="15" x14ac:dyDescent="0.25">
      <c r="A3398" s="42" t="str">
        <f>CONCATENATE("Итого по разделу: ",IF([1]Source!G3846&lt;&gt;"Новый раздел", [1]Source!G3846, ""))</f>
        <v>Итого по разделу: Нестационарные торговые объекты</v>
      </c>
      <c r="B3398" s="42"/>
      <c r="C3398" s="42"/>
      <c r="D3398" s="42"/>
      <c r="E3398" s="42"/>
      <c r="F3398" s="42"/>
      <c r="G3398" s="42"/>
      <c r="H3398" s="42"/>
      <c r="I3398" s="43">
        <f>SUM(AA3392:AA3397)</f>
        <v>17141.760000000002</v>
      </c>
      <c r="J3398" s="44"/>
      <c r="K3398" s="47"/>
      <c r="L3398" s="38">
        <f>I3398</f>
        <v>17141.760000000002</v>
      </c>
      <c r="M3398" s="2">
        <f>ROUND(I3398*$I$4874,2)</f>
        <v>12379.9</v>
      </c>
      <c r="N3398" s="2">
        <f>ROUND(M3398*1.2/105*100,2)</f>
        <v>14148.46</v>
      </c>
      <c r="O3398" s="2">
        <f>ROUND(N3398*0.05,2)</f>
        <v>707.42</v>
      </c>
      <c r="P3398" s="2">
        <f>N3398+O3398</f>
        <v>14855.88</v>
      </c>
      <c r="Q3398" s="3">
        <v>104</v>
      </c>
      <c r="R3398">
        <v>2</v>
      </c>
      <c r="S3398" s="2">
        <v>0</v>
      </c>
    </row>
    <row r="3399" spans="1:33" x14ac:dyDescent="0.2">
      <c r="M3399"/>
      <c r="N3399"/>
      <c r="O3399"/>
      <c r="P3399"/>
      <c r="Q3399"/>
    </row>
    <row r="3400" spans="1:33" x14ac:dyDescent="0.2">
      <c r="M3400"/>
      <c r="N3400"/>
      <c r="O3400"/>
      <c r="P3400"/>
      <c r="Q3400"/>
    </row>
    <row r="3401" spans="1:33" ht="16.5" x14ac:dyDescent="0.25">
      <c r="A3401" s="29" t="str">
        <f>CONCATENATE("Раздел: ",IF([1]Source!G3876&lt;&gt;"Новый раздел", [1]Source!G3876, ""))</f>
        <v>Раздел: "Патриаршее подворье" (S=4987,1 м2 )</v>
      </c>
      <c r="B3401" s="29"/>
      <c r="C3401" s="29"/>
      <c r="D3401" s="29"/>
      <c r="E3401" s="29"/>
      <c r="F3401" s="29"/>
      <c r="G3401" s="29"/>
      <c r="H3401" s="29"/>
      <c r="I3401" s="29"/>
      <c r="J3401" s="29"/>
      <c r="K3401" s="29"/>
      <c r="M3401"/>
      <c r="N3401"/>
      <c r="O3401"/>
      <c r="P3401"/>
      <c r="Q3401"/>
    </row>
    <row r="3402" spans="1:33" x14ac:dyDescent="0.2">
      <c r="M3402"/>
      <c r="N3402"/>
      <c r="O3402"/>
      <c r="P3402"/>
      <c r="Q3402"/>
    </row>
    <row r="3403" spans="1:33" ht="16.5" x14ac:dyDescent="0.25">
      <c r="A3403" s="29" t="str">
        <f>CONCATENATE("Подраздел: ",IF([1]Source!G3880&lt;&gt;"Новый подраздел", [1]Source!G3880, ""))</f>
        <v>Подраздел: Содержание покрытий " Патриаршего подворья".</v>
      </c>
      <c r="B3403" s="29"/>
      <c r="C3403" s="29"/>
      <c r="D3403" s="29"/>
      <c r="E3403" s="29"/>
      <c r="F3403" s="29"/>
      <c r="G3403" s="29"/>
      <c r="H3403" s="29"/>
      <c r="I3403" s="29"/>
      <c r="J3403" s="29"/>
      <c r="K3403" s="29"/>
      <c r="M3403"/>
      <c r="N3403"/>
      <c r="O3403"/>
      <c r="P3403"/>
      <c r="Q3403"/>
    </row>
    <row r="3404" spans="1:33" ht="57" x14ac:dyDescent="0.2">
      <c r="A3404" s="31">
        <v>433</v>
      </c>
      <c r="B3404" s="31" t="str">
        <f>[1]Source!F3884</f>
        <v>5.3-1101-15-1/1</v>
      </c>
      <c r="C3404" s="31" t="str">
        <f>[1]Source!G3884</f>
        <v>Подметание тротуаров, придомовых и внутрибольничных проездов средствами малой механизации ( 4987,1 м2*0,7=3490,97 м2 )</v>
      </c>
      <c r="D3404" s="32" t="str">
        <f>[1]Source!H3884</f>
        <v>1000 м2</v>
      </c>
      <c r="E3404" s="4">
        <f>[1]Source!I3884</f>
        <v>3.4909699999999999</v>
      </c>
      <c r="F3404" s="33"/>
      <c r="G3404" s="34"/>
      <c r="H3404" s="4"/>
      <c r="I3404" s="4"/>
      <c r="J3404" s="33"/>
      <c r="K3404" s="33"/>
      <c r="M3404"/>
      <c r="N3404"/>
      <c r="O3404"/>
      <c r="P3404"/>
      <c r="Q3404"/>
      <c r="AB3404">
        <f>ROUND(([1]Source!BZ3884/100)*ROUND(([1]Source!AF3884*[1]Source!AV3884)*[1]Source!I3884, 2), 2)</f>
        <v>0</v>
      </c>
      <c r="AC3404">
        <f>[1]Source!X3884</f>
        <v>0</v>
      </c>
      <c r="AD3404">
        <f>ROUND(([1]Source!CA3884/100)*ROUND(([1]Source!AF3884*[1]Source!AV3884)*[1]Source!I3884, 2), 2)</f>
        <v>0</v>
      </c>
      <c r="AE3404">
        <f>[1]Source!Y3884</f>
        <v>0</v>
      </c>
      <c r="AF3404">
        <f>ROUND((175/100)*ROUND(([1]Source!AE3884*[1]Source!AV3884)*[1]Source!I3884, 2), 2)</f>
        <v>866645.5</v>
      </c>
      <c r="AG3404">
        <f>ROUND((108/100)*ROUND([1]Source!CS3884*[1]Source!I3884, 2), 2)</f>
        <v>534844.07999999996</v>
      </c>
    </row>
    <row r="3405" spans="1:33" x14ac:dyDescent="0.2">
      <c r="C3405" s="40" t="str">
        <f>"Объем: "&amp;[1]Source!I3884&amp;"=3490,97/"&amp;"1000"</f>
        <v>Объем: 3,49097=3490,97/1000</v>
      </c>
      <c r="M3405"/>
      <c r="N3405"/>
      <c r="O3405"/>
      <c r="P3405"/>
      <c r="Q3405"/>
    </row>
    <row r="3406" spans="1:33" ht="14.25" x14ac:dyDescent="0.2">
      <c r="A3406" s="31"/>
      <c r="B3406" s="31"/>
      <c r="C3406" s="31" t="s">
        <v>33</v>
      </c>
      <c r="D3406" s="32"/>
      <c r="E3406" s="4"/>
      <c r="F3406" s="33">
        <f>[1]Source!AM3884</f>
        <v>290.76</v>
      </c>
      <c r="G3406" s="34" t="str">
        <f>[1]Source!DE3884</f>
        <v>)*3*398</v>
      </c>
      <c r="H3406" s="4">
        <f>[1]Source!AV3884</f>
        <v>1</v>
      </c>
      <c r="I3406" s="4">
        <f>IF([1]Source!BB3884&lt;&gt; 0, [1]Source!BB3884, 1)</f>
        <v>1</v>
      </c>
      <c r="J3406" s="33">
        <f>[1]Source!Q3884</f>
        <v>1211951.1200000001</v>
      </c>
      <c r="K3406" s="33"/>
      <c r="M3406"/>
      <c r="N3406"/>
      <c r="O3406"/>
      <c r="P3406"/>
      <c r="Q3406"/>
    </row>
    <row r="3407" spans="1:33" ht="14.25" x14ac:dyDescent="0.2">
      <c r="A3407" s="31"/>
      <c r="B3407" s="31"/>
      <c r="C3407" s="31" t="s">
        <v>37</v>
      </c>
      <c r="D3407" s="32"/>
      <c r="E3407" s="4"/>
      <c r="F3407" s="33">
        <f>[1]Source!AN3884</f>
        <v>118.81</v>
      </c>
      <c r="G3407" s="34" t="str">
        <f>[1]Source!DF3884</f>
        <v>)*3*398</v>
      </c>
      <c r="H3407" s="4">
        <f>[1]Source!AV3884</f>
        <v>1</v>
      </c>
      <c r="I3407" s="4">
        <f>IF([1]Source!BS3884&lt;&gt; 0, [1]Source!BS3884, 1)</f>
        <v>1</v>
      </c>
      <c r="J3407" s="41">
        <f>[1]Source!R3884</f>
        <v>495226</v>
      </c>
      <c r="K3407" s="33"/>
      <c r="M3407"/>
      <c r="N3407"/>
      <c r="O3407"/>
      <c r="P3407"/>
      <c r="Q3407"/>
    </row>
    <row r="3408" spans="1:33" ht="14.25" x14ac:dyDescent="0.2">
      <c r="A3408" s="31"/>
      <c r="B3408" s="31"/>
      <c r="C3408" s="31" t="s">
        <v>47</v>
      </c>
      <c r="D3408" s="32"/>
      <c r="E3408" s="4"/>
      <c r="F3408" s="33">
        <f>[1]Source!AL3884</f>
        <v>8.49</v>
      </c>
      <c r="G3408" s="34" t="str">
        <f>[1]Source!DD3884</f>
        <v>)*3*398</v>
      </c>
      <c r="H3408" s="4">
        <f>[1]Source!AW3884</f>
        <v>1</v>
      </c>
      <c r="I3408" s="4">
        <f>IF([1]Source!BC3884&lt;&gt; 0, [1]Source!BC3884, 1)</f>
        <v>1</v>
      </c>
      <c r="J3408" s="33">
        <f>[1]Source!P3884</f>
        <v>35388.17</v>
      </c>
      <c r="K3408" s="33"/>
      <c r="M3408"/>
      <c r="N3408"/>
      <c r="O3408"/>
      <c r="P3408"/>
      <c r="Q3408"/>
    </row>
    <row r="3409" spans="1:33" ht="14.25" x14ac:dyDescent="0.2">
      <c r="A3409" s="31" t="s">
        <v>171</v>
      </c>
      <c r="B3409" s="31" t="str">
        <f>[1]Source!F3885</f>
        <v>21.1-25-13</v>
      </c>
      <c r="C3409" s="31" t="str">
        <f>[1]Source!G3885</f>
        <v>Вода</v>
      </c>
      <c r="D3409" s="32" t="str">
        <f>[1]Source!H3885</f>
        <v>м3</v>
      </c>
      <c r="E3409" s="4">
        <f>[1]Source!I3885</f>
        <v>-833.64363600000001</v>
      </c>
      <c r="F3409" s="33">
        <f>[1]Source!AK3885</f>
        <v>42.44</v>
      </c>
      <c r="G3409" s="39" t="s">
        <v>100</v>
      </c>
      <c r="H3409" s="4">
        <f>[1]Source!AW3885</f>
        <v>1</v>
      </c>
      <c r="I3409" s="4">
        <f>IF([1]Source!BC3885&lt;&gt; 0, [1]Source!BC3885, 1)</f>
        <v>1</v>
      </c>
      <c r="J3409" s="33">
        <f>[1]Source!O3885</f>
        <v>-35379.839999999997</v>
      </c>
      <c r="K3409" s="33"/>
      <c r="M3409"/>
      <c r="N3409"/>
      <c r="O3409"/>
      <c r="P3409"/>
      <c r="Q3409"/>
      <c r="AB3409">
        <f>ROUND(([1]Source!BZ3885/100)*ROUND(([1]Source!AF3885*[1]Source!AV3885)*[1]Source!I3885, 2), 2)</f>
        <v>0</v>
      </c>
      <c r="AC3409">
        <f>[1]Source!X3885</f>
        <v>0</v>
      </c>
      <c r="AD3409">
        <f>ROUND(([1]Source!CA3885/100)*ROUND(([1]Source!AF3885*[1]Source!AV3885)*[1]Source!I3885, 2), 2)</f>
        <v>0</v>
      </c>
      <c r="AE3409">
        <f>[1]Source!Y3885</f>
        <v>0</v>
      </c>
      <c r="AF3409">
        <f>ROUND((175/100)*ROUND(([1]Source!AE3885*[1]Source!AV3885)*[1]Source!I3885, 2), 2)</f>
        <v>0</v>
      </c>
      <c r="AG3409">
        <f>ROUND((108/100)*ROUND([1]Source!CS3885*[1]Source!I3885, 2), 2)</f>
        <v>0</v>
      </c>
    </row>
    <row r="3410" spans="1:33" ht="14.25" x14ac:dyDescent="0.2">
      <c r="A3410" s="31"/>
      <c r="B3410" s="31"/>
      <c r="C3410" s="31" t="s">
        <v>38</v>
      </c>
      <c r="D3410" s="32" t="s">
        <v>39</v>
      </c>
      <c r="E3410" s="4">
        <f>108</f>
        <v>108</v>
      </c>
      <c r="F3410" s="33"/>
      <c r="G3410" s="34"/>
      <c r="H3410" s="4"/>
      <c r="I3410" s="4"/>
      <c r="J3410" s="33">
        <f>SUM(AG3404:AG3409)</f>
        <v>534844.07999999996</v>
      </c>
      <c r="K3410" s="33"/>
      <c r="M3410"/>
      <c r="N3410"/>
      <c r="O3410"/>
      <c r="P3410"/>
      <c r="Q3410"/>
    </row>
    <row r="3411" spans="1:33" ht="15" x14ac:dyDescent="0.25">
      <c r="A3411" s="35"/>
      <c r="B3411" s="35"/>
      <c r="C3411" s="35"/>
      <c r="D3411" s="35"/>
      <c r="E3411" s="35"/>
      <c r="F3411" s="35"/>
      <c r="G3411" s="35"/>
      <c r="H3411" s="35"/>
      <c r="I3411" s="36">
        <f>J3406+J3408+J3410+SUM(J3409:J3409)</f>
        <v>1746803.53</v>
      </c>
      <c r="J3411" s="36"/>
      <c r="K3411" s="37">
        <f>IF([1]Source!I3884&lt;&gt;0, ROUND(I3411/[1]Source!I3884, 2), 0)</f>
        <v>500377.7</v>
      </c>
      <c r="M3411"/>
      <c r="N3411"/>
      <c r="O3411"/>
      <c r="P3411"/>
      <c r="Q3411"/>
      <c r="AA3411" s="38">
        <f>I3411</f>
        <v>1746803.53</v>
      </c>
    </row>
    <row r="3412" spans="1:33" ht="42.75" x14ac:dyDescent="0.2">
      <c r="A3412" s="31">
        <v>434</v>
      </c>
      <c r="B3412" s="31" t="str">
        <f>[1]Source!F3886</f>
        <v>5.3-1101-13-1/1</v>
      </c>
      <c r="C3412" s="31" t="str">
        <f>[1]Source!G3886</f>
        <v>Подметание вручную дорожек и площадок с твердым покрытием ( 4987,1 м2* 0,3= 1496,13м2)</v>
      </c>
      <c r="D3412" s="32" t="str">
        <f>[1]Source!H3886</f>
        <v>100 м2</v>
      </c>
      <c r="E3412" s="4">
        <f>[1]Source!I3886</f>
        <v>14.9613</v>
      </c>
      <c r="F3412" s="33"/>
      <c r="G3412" s="34"/>
      <c r="H3412" s="4"/>
      <c r="I3412" s="4"/>
      <c r="J3412" s="33"/>
      <c r="K3412" s="33"/>
      <c r="M3412"/>
      <c r="N3412"/>
      <c r="O3412"/>
      <c r="P3412"/>
      <c r="Q3412"/>
      <c r="AB3412">
        <f>ROUND(([1]Source!BZ3886/100)*ROUND(([1]Source!AF3886*[1]Source!AV3886)*[1]Source!I3886, 2), 2)</f>
        <v>434036.56</v>
      </c>
      <c r="AC3412">
        <f>[1]Source!X3886</f>
        <v>434036.56</v>
      </c>
      <c r="AD3412">
        <f>ROUND(([1]Source!CA3886/100)*ROUND(([1]Source!AF3886*[1]Source!AV3886)*[1]Source!I3886, 2), 2)</f>
        <v>62005.22</v>
      </c>
      <c r="AE3412">
        <f>[1]Source!Y3886</f>
        <v>62005.22</v>
      </c>
      <c r="AF3412">
        <f>ROUND((175/100)*ROUND(([1]Source!AE3886*[1]Source!AV3886)*[1]Source!I3886, 2), 2)</f>
        <v>0</v>
      </c>
      <c r="AG3412">
        <f>ROUND((108/100)*ROUND([1]Source!CS3886*[1]Source!I3886, 2), 2)</f>
        <v>0</v>
      </c>
    </row>
    <row r="3413" spans="1:33" x14ac:dyDescent="0.2">
      <c r="C3413" s="40" t="str">
        <f>"Объем: "&amp;[1]Source!I3886&amp;"=1496,13/"&amp;"100"</f>
        <v>Объем: 14,9613=1496,13/100</v>
      </c>
      <c r="M3413"/>
      <c r="N3413"/>
      <c r="O3413"/>
      <c r="P3413"/>
      <c r="Q3413"/>
    </row>
    <row r="3414" spans="1:33" ht="14.25" x14ac:dyDescent="0.2">
      <c r="A3414" s="31"/>
      <c r="B3414" s="31"/>
      <c r="C3414" s="31" t="s">
        <v>34</v>
      </c>
      <c r="D3414" s="32"/>
      <c r="E3414" s="4"/>
      <c r="F3414" s="33">
        <f>[1]Source!AO3886</f>
        <v>34.71</v>
      </c>
      <c r="G3414" s="34" t="str">
        <f>[1]Source!DG3886</f>
        <v>)*3*398</v>
      </c>
      <c r="H3414" s="4">
        <f>[1]Source!AV3886</f>
        <v>1</v>
      </c>
      <c r="I3414" s="4">
        <f>IF([1]Source!BA3886&lt;&gt; 0, [1]Source!BA3886, 1)</f>
        <v>1</v>
      </c>
      <c r="J3414" s="33">
        <f>[1]Source!S3886</f>
        <v>620052.23</v>
      </c>
      <c r="K3414" s="33"/>
      <c r="M3414"/>
      <c r="N3414"/>
      <c r="O3414"/>
      <c r="P3414"/>
      <c r="Q3414"/>
    </row>
    <row r="3415" spans="1:33" ht="14.25" x14ac:dyDescent="0.2">
      <c r="A3415" s="31"/>
      <c r="B3415" s="31"/>
      <c r="C3415" s="31" t="s">
        <v>40</v>
      </c>
      <c r="D3415" s="32" t="s">
        <v>39</v>
      </c>
      <c r="E3415" s="4">
        <f>[1]Source!AT3886</f>
        <v>70</v>
      </c>
      <c r="F3415" s="33"/>
      <c r="G3415" s="34"/>
      <c r="H3415" s="4"/>
      <c r="I3415" s="4"/>
      <c r="J3415" s="33">
        <f>SUM(AC3412:AC3414)</f>
        <v>434036.56</v>
      </c>
      <c r="K3415" s="33"/>
      <c r="M3415"/>
      <c r="N3415"/>
      <c r="O3415"/>
      <c r="P3415"/>
      <c r="Q3415"/>
    </row>
    <row r="3416" spans="1:33" ht="14.25" x14ac:dyDescent="0.2">
      <c r="A3416" s="31"/>
      <c r="B3416" s="31"/>
      <c r="C3416" s="31" t="s">
        <v>41</v>
      </c>
      <c r="D3416" s="32" t="s">
        <v>39</v>
      </c>
      <c r="E3416" s="4">
        <f>[1]Source!AU3886</f>
        <v>10</v>
      </c>
      <c r="F3416" s="33"/>
      <c r="G3416" s="34"/>
      <c r="H3416" s="4"/>
      <c r="I3416" s="4"/>
      <c r="J3416" s="33">
        <f>SUM(AE3412:AE3415)</f>
        <v>62005.22</v>
      </c>
      <c r="K3416" s="33"/>
      <c r="M3416"/>
      <c r="N3416"/>
      <c r="O3416"/>
      <c r="P3416"/>
      <c r="Q3416"/>
    </row>
    <row r="3417" spans="1:33" ht="14.25" x14ac:dyDescent="0.2">
      <c r="A3417" s="31"/>
      <c r="B3417" s="31"/>
      <c r="C3417" s="31" t="s">
        <v>42</v>
      </c>
      <c r="D3417" s="32" t="s">
        <v>43</v>
      </c>
      <c r="E3417" s="4">
        <f>[1]Source!AQ3886</f>
        <v>0.14000000000000001</v>
      </c>
      <c r="F3417" s="33"/>
      <c r="G3417" s="34" t="str">
        <f>[1]Source!DI3886</f>
        <v>)*3*398</v>
      </c>
      <c r="H3417" s="4">
        <f>[1]Source!AV3886</f>
        <v>1</v>
      </c>
      <c r="I3417" s="4"/>
      <c r="J3417" s="33"/>
      <c r="K3417" s="33">
        <f>[1]Source!U3886</f>
        <v>2500.9309080000003</v>
      </c>
      <c r="M3417"/>
      <c r="N3417"/>
      <c r="O3417"/>
      <c r="P3417"/>
      <c r="Q3417"/>
    </row>
    <row r="3418" spans="1:33" ht="15" x14ac:dyDescent="0.25">
      <c r="A3418" s="35"/>
      <c r="B3418" s="35"/>
      <c r="C3418" s="35"/>
      <c r="D3418" s="35"/>
      <c r="E3418" s="35"/>
      <c r="F3418" s="35"/>
      <c r="G3418" s="35"/>
      <c r="H3418" s="35"/>
      <c r="I3418" s="36">
        <f>J3414+J3415+J3416</f>
        <v>1116094.01</v>
      </c>
      <c r="J3418" s="36"/>
      <c r="K3418" s="37">
        <f>IF([1]Source!I3886&lt;&gt;0, ROUND(I3418/[1]Source!I3886, 2), 0)</f>
        <v>74598.73</v>
      </c>
      <c r="M3418"/>
      <c r="N3418"/>
      <c r="O3418"/>
      <c r="P3418"/>
      <c r="Q3418"/>
      <c r="AA3418" s="38">
        <f>I3418</f>
        <v>1116094.01</v>
      </c>
    </row>
    <row r="3419" spans="1:33" ht="57" x14ac:dyDescent="0.2">
      <c r="A3419" s="31">
        <v>435</v>
      </c>
      <c r="B3419" s="31" t="str">
        <f>[1]Source!F3887</f>
        <v>5.3-1101-13-1/1</v>
      </c>
      <c r="C3419" s="31" t="str">
        <f>[1]Source!G3887</f>
        <v>Подметание вручную дорожек и площадок с твердым покрытием (  дополнительное подметание покрытий в осенний период)</v>
      </c>
      <c r="D3419" s="32" t="str">
        <f>[1]Source!H3887</f>
        <v>100 м2</v>
      </c>
      <c r="E3419" s="4">
        <f>[1]Source!I3887</f>
        <v>49.871000000000002</v>
      </c>
      <c r="F3419" s="33"/>
      <c r="G3419" s="34"/>
      <c r="H3419" s="4"/>
      <c r="I3419" s="4"/>
      <c r="J3419" s="33"/>
      <c r="K3419" s="33"/>
      <c r="M3419"/>
      <c r="N3419"/>
      <c r="O3419"/>
      <c r="P3419"/>
      <c r="Q3419"/>
      <c r="AB3419">
        <f>ROUND(([1]Source!BZ3887/100)*ROUND(([1]Source!AF3887*[1]Source!AV3887)*[1]Source!I3887, 2), 2)</f>
        <v>72702.94</v>
      </c>
      <c r="AC3419">
        <f>[1]Source!X3887</f>
        <v>72702.94</v>
      </c>
      <c r="AD3419">
        <f>ROUND(([1]Source!CA3887/100)*ROUND(([1]Source!AF3887*[1]Source!AV3887)*[1]Source!I3887, 2), 2)</f>
        <v>10386.129999999999</v>
      </c>
      <c r="AE3419">
        <f>[1]Source!Y3887</f>
        <v>10386.129999999999</v>
      </c>
      <c r="AF3419">
        <f>ROUND((175/100)*ROUND(([1]Source!AE3887*[1]Source!AV3887)*[1]Source!I3887, 2), 2)</f>
        <v>0</v>
      </c>
      <c r="AG3419">
        <f>ROUND((108/100)*ROUND([1]Source!CS3887*[1]Source!I3887, 2), 2)</f>
        <v>0</v>
      </c>
    </row>
    <row r="3420" spans="1:33" x14ac:dyDescent="0.2">
      <c r="C3420" s="40" t="str">
        <f>"Объем: "&amp;[1]Source!I3887&amp;"=4987,1/"&amp;"100"</f>
        <v>Объем: 49,871=4987,1/100</v>
      </c>
      <c r="M3420"/>
      <c r="N3420"/>
      <c r="O3420"/>
      <c r="P3420"/>
      <c r="Q3420"/>
    </row>
    <row r="3421" spans="1:33" ht="14.25" x14ac:dyDescent="0.2">
      <c r="A3421" s="31"/>
      <c r="B3421" s="31"/>
      <c r="C3421" s="31" t="s">
        <v>34</v>
      </c>
      <c r="D3421" s="32"/>
      <c r="E3421" s="4"/>
      <c r="F3421" s="33">
        <f>[1]Source!AO3887</f>
        <v>34.71</v>
      </c>
      <c r="G3421" s="34" t="str">
        <f>[1]Source!DG3887</f>
        <v>)*1*60</v>
      </c>
      <c r="H3421" s="4">
        <f>[1]Source!AV3887</f>
        <v>1</v>
      </c>
      <c r="I3421" s="4">
        <f>IF([1]Source!BA3887&lt;&gt; 0, [1]Source!BA3887, 1)</f>
        <v>1</v>
      </c>
      <c r="J3421" s="33">
        <f>[1]Source!S3887</f>
        <v>103861.34</v>
      </c>
      <c r="K3421" s="33"/>
      <c r="M3421"/>
      <c r="N3421"/>
      <c r="O3421"/>
      <c r="P3421"/>
      <c r="Q3421"/>
    </row>
    <row r="3422" spans="1:33" ht="14.25" x14ac:dyDescent="0.2">
      <c r="A3422" s="31"/>
      <c r="B3422" s="31"/>
      <c r="C3422" s="31" t="s">
        <v>40</v>
      </c>
      <c r="D3422" s="32" t="s">
        <v>39</v>
      </c>
      <c r="E3422" s="4">
        <f>[1]Source!AT3887</f>
        <v>70</v>
      </c>
      <c r="F3422" s="33"/>
      <c r="G3422" s="34"/>
      <c r="H3422" s="4"/>
      <c r="I3422" s="4"/>
      <c r="J3422" s="33">
        <f>SUM(AC3419:AC3421)</f>
        <v>72702.94</v>
      </c>
      <c r="K3422" s="33"/>
      <c r="M3422"/>
      <c r="N3422"/>
      <c r="O3422"/>
      <c r="P3422"/>
      <c r="Q3422"/>
    </row>
    <row r="3423" spans="1:33" ht="14.25" x14ac:dyDescent="0.2">
      <c r="A3423" s="31"/>
      <c r="B3423" s="31"/>
      <c r="C3423" s="31" t="s">
        <v>41</v>
      </c>
      <c r="D3423" s="32" t="s">
        <v>39</v>
      </c>
      <c r="E3423" s="4">
        <f>[1]Source!AU3887</f>
        <v>10</v>
      </c>
      <c r="F3423" s="33"/>
      <c r="G3423" s="34"/>
      <c r="H3423" s="4"/>
      <c r="I3423" s="4"/>
      <c r="J3423" s="33">
        <f>SUM(AE3419:AE3422)</f>
        <v>10386.129999999999</v>
      </c>
      <c r="K3423" s="33"/>
      <c r="M3423"/>
      <c r="N3423"/>
      <c r="O3423"/>
      <c r="P3423"/>
      <c r="Q3423"/>
    </row>
    <row r="3424" spans="1:33" ht="14.25" x14ac:dyDescent="0.2">
      <c r="A3424" s="31"/>
      <c r="B3424" s="31"/>
      <c r="C3424" s="31" t="s">
        <v>42</v>
      </c>
      <c r="D3424" s="32" t="s">
        <v>43</v>
      </c>
      <c r="E3424" s="4">
        <f>[1]Source!AQ3887</f>
        <v>0.14000000000000001</v>
      </c>
      <c r="F3424" s="33"/>
      <c r="G3424" s="34" t="str">
        <f>[1]Source!DI3887</f>
        <v>)*1*60</v>
      </c>
      <c r="H3424" s="4">
        <f>[1]Source!AV3887</f>
        <v>1</v>
      </c>
      <c r="I3424" s="4"/>
      <c r="J3424" s="33"/>
      <c r="K3424" s="33">
        <f>[1]Source!U3887</f>
        <v>418.91640000000001</v>
      </c>
      <c r="M3424"/>
      <c r="N3424"/>
      <c r="O3424"/>
      <c r="P3424"/>
      <c r="Q3424"/>
    </row>
    <row r="3425" spans="1:33" ht="15" x14ac:dyDescent="0.25">
      <c r="A3425" s="35"/>
      <c r="B3425" s="35"/>
      <c r="C3425" s="35"/>
      <c r="D3425" s="35"/>
      <c r="E3425" s="35"/>
      <c r="F3425" s="35"/>
      <c r="G3425" s="35"/>
      <c r="H3425" s="35"/>
      <c r="I3425" s="36">
        <f>J3421+J3422+J3423</f>
        <v>186950.41</v>
      </c>
      <c r="J3425" s="36"/>
      <c r="K3425" s="37">
        <f>IF([1]Source!I3887&lt;&gt;0, ROUND(I3425/[1]Source!I3887, 2), 0)</f>
        <v>3748.68</v>
      </c>
      <c r="M3425"/>
      <c r="N3425"/>
      <c r="O3425"/>
      <c r="P3425"/>
      <c r="Q3425"/>
      <c r="AA3425" s="38">
        <f>I3425</f>
        <v>186950.41</v>
      </c>
    </row>
    <row r="3426" spans="1:33" ht="42.75" x14ac:dyDescent="0.2">
      <c r="A3426" s="31">
        <v>436</v>
      </c>
      <c r="B3426" s="31" t="str">
        <f>[1]Source!F3888</f>
        <v>5.3-1101-15-5/1</v>
      </c>
      <c r="C3426" s="31" t="str">
        <f>[1]Source!G3888</f>
        <v>Мытье тротуаров, придомовых и внутрибольничных проездов средствами малой механизации</v>
      </c>
      <c r="D3426" s="32" t="str">
        <f>[1]Source!H3888</f>
        <v>1000 м2</v>
      </c>
      <c r="E3426" s="4">
        <f>[1]Source!I3888</f>
        <v>4.9870999999999999</v>
      </c>
      <c r="F3426" s="33"/>
      <c r="G3426" s="34"/>
      <c r="H3426" s="4"/>
      <c r="I3426" s="4"/>
      <c r="J3426" s="33"/>
      <c r="K3426" s="33"/>
      <c r="M3426"/>
      <c r="N3426"/>
      <c r="O3426"/>
      <c r="P3426"/>
      <c r="Q3426"/>
      <c r="AB3426">
        <f>ROUND(([1]Source!BZ3888/100)*ROUND(([1]Source!AF3888*[1]Source!AV3888)*[1]Source!I3888, 2), 2)</f>
        <v>0</v>
      </c>
      <c r="AC3426">
        <f>[1]Source!X3888</f>
        <v>0</v>
      </c>
      <c r="AD3426">
        <f>ROUND(([1]Source!CA3888/100)*ROUND(([1]Source!AF3888*[1]Source!AV3888)*[1]Source!I3888, 2), 2)</f>
        <v>0</v>
      </c>
      <c r="AE3426">
        <f>[1]Source!Y3888</f>
        <v>0</v>
      </c>
      <c r="AF3426">
        <f>ROUND((175/100)*ROUND(([1]Source!AE3888*[1]Source!AV3888)*[1]Source!I3888, 2), 2)</f>
        <v>5264.21</v>
      </c>
      <c r="AG3426">
        <f>ROUND((108/100)*ROUND([1]Source!CS3888*[1]Source!I3888, 2), 2)</f>
        <v>3248.77</v>
      </c>
    </row>
    <row r="3427" spans="1:33" x14ac:dyDescent="0.2">
      <c r="C3427" s="40" t="str">
        <f>"Объем: "&amp;[1]Source!I3888&amp;"=4987,1/"&amp;"1000"</f>
        <v>Объем: 4,9871=4987,1/1000</v>
      </c>
      <c r="M3427"/>
      <c r="N3427"/>
      <c r="O3427"/>
      <c r="P3427"/>
      <c r="Q3427"/>
    </row>
    <row r="3428" spans="1:33" ht="14.25" x14ac:dyDescent="0.2">
      <c r="A3428" s="31"/>
      <c r="B3428" s="31"/>
      <c r="C3428" s="31" t="s">
        <v>33</v>
      </c>
      <c r="D3428" s="32"/>
      <c r="E3428" s="4"/>
      <c r="F3428" s="33">
        <f>[1]Source!AM3888</f>
        <v>738.08</v>
      </c>
      <c r="G3428" s="34" t="str">
        <f>[1]Source!DE3888</f>
        <v>)*1*2</v>
      </c>
      <c r="H3428" s="4">
        <f>[1]Source!AV3888</f>
        <v>1</v>
      </c>
      <c r="I3428" s="4">
        <f>IF([1]Source!BB3888&lt;&gt; 0, [1]Source!BB3888, 1)</f>
        <v>1</v>
      </c>
      <c r="J3428" s="33">
        <f>[1]Source!Q3888</f>
        <v>7361.76</v>
      </c>
      <c r="K3428" s="33"/>
      <c r="M3428"/>
      <c r="N3428"/>
      <c r="O3428"/>
      <c r="P3428"/>
      <c r="Q3428"/>
    </row>
    <row r="3429" spans="1:33" ht="14.25" x14ac:dyDescent="0.2">
      <c r="A3429" s="31"/>
      <c r="B3429" s="31"/>
      <c r="C3429" s="31" t="s">
        <v>37</v>
      </c>
      <c r="D3429" s="32"/>
      <c r="E3429" s="4"/>
      <c r="F3429" s="33">
        <f>[1]Source!AN3888</f>
        <v>301.58999999999997</v>
      </c>
      <c r="G3429" s="34" t="str">
        <f>[1]Source!DF3888</f>
        <v>)*1*2</v>
      </c>
      <c r="H3429" s="4">
        <f>[1]Source!AV3888</f>
        <v>1</v>
      </c>
      <c r="I3429" s="4">
        <f>IF([1]Source!BS3888&lt;&gt; 0, [1]Source!BS3888, 1)</f>
        <v>1</v>
      </c>
      <c r="J3429" s="41">
        <f>[1]Source!R3888</f>
        <v>3008.12</v>
      </c>
      <c r="K3429" s="33"/>
      <c r="M3429"/>
      <c r="N3429"/>
      <c r="O3429"/>
      <c r="P3429"/>
      <c r="Q3429"/>
    </row>
    <row r="3430" spans="1:33" ht="14.25" x14ac:dyDescent="0.2">
      <c r="A3430" s="31"/>
      <c r="B3430" s="31"/>
      <c r="C3430" s="31" t="s">
        <v>47</v>
      </c>
      <c r="D3430" s="32"/>
      <c r="E3430" s="4"/>
      <c r="F3430" s="33">
        <f>[1]Source!AL3888</f>
        <v>194.05</v>
      </c>
      <c r="G3430" s="34" t="str">
        <f>[1]Source!DD3888</f>
        <v>)*1*2</v>
      </c>
      <c r="H3430" s="4">
        <f>[1]Source!AW3888</f>
        <v>1</v>
      </c>
      <c r="I3430" s="4">
        <f>IF([1]Source!BC3888&lt;&gt; 0, [1]Source!BC3888, 1)</f>
        <v>1</v>
      </c>
      <c r="J3430" s="33">
        <f>[1]Source!P3888</f>
        <v>1935.49</v>
      </c>
      <c r="K3430" s="33"/>
      <c r="M3430"/>
      <c r="N3430"/>
      <c r="O3430"/>
      <c r="P3430"/>
      <c r="Q3430"/>
    </row>
    <row r="3431" spans="1:33" ht="14.25" x14ac:dyDescent="0.2">
      <c r="A3431" s="31" t="s">
        <v>172</v>
      </c>
      <c r="B3431" s="31" t="str">
        <f>[1]Source!F3889</f>
        <v>21.1-25-13</v>
      </c>
      <c r="C3431" s="31" t="str">
        <f>[1]Source!G3889</f>
        <v>Вода</v>
      </c>
      <c r="D3431" s="32" t="str">
        <f>[1]Source!H3889</f>
        <v>м3</v>
      </c>
      <c r="E3431" s="4">
        <f>[1]Source!I3889</f>
        <v>-11.171104000000001</v>
      </c>
      <c r="F3431" s="33">
        <f>[1]Source!AK3889</f>
        <v>42.44</v>
      </c>
      <c r="G3431" s="39" t="s">
        <v>102</v>
      </c>
      <c r="H3431" s="4">
        <f>[1]Source!AW3889</f>
        <v>1</v>
      </c>
      <c r="I3431" s="4">
        <f>IF([1]Source!BC3889&lt;&gt; 0, [1]Source!BC3889, 1)</f>
        <v>1</v>
      </c>
      <c r="J3431" s="33">
        <f>[1]Source!O3889</f>
        <v>-474.1</v>
      </c>
      <c r="K3431" s="33"/>
      <c r="M3431"/>
      <c r="N3431"/>
      <c r="O3431"/>
      <c r="P3431"/>
      <c r="Q3431"/>
      <c r="AB3431">
        <f>ROUND(([1]Source!BZ3889/100)*ROUND(([1]Source!AF3889*[1]Source!AV3889)*[1]Source!I3889, 2), 2)</f>
        <v>0</v>
      </c>
      <c r="AC3431">
        <f>[1]Source!X3889</f>
        <v>0</v>
      </c>
      <c r="AD3431">
        <f>ROUND(([1]Source!CA3889/100)*ROUND(([1]Source!AF3889*[1]Source!AV3889)*[1]Source!I3889, 2), 2)</f>
        <v>0</v>
      </c>
      <c r="AE3431">
        <f>[1]Source!Y3889</f>
        <v>0</v>
      </c>
      <c r="AF3431">
        <f>ROUND((175/100)*ROUND(([1]Source!AE3889*[1]Source!AV3889)*[1]Source!I3889, 2), 2)</f>
        <v>0</v>
      </c>
      <c r="AG3431">
        <f>ROUND((108/100)*ROUND([1]Source!CS3889*[1]Source!I3889, 2), 2)</f>
        <v>0</v>
      </c>
    </row>
    <row r="3432" spans="1:33" ht="14.25" x14ac:dyDescent="0.2">
      <c r="A3432" s="31"/>
      <c r="B3432" s="31"/>
      <c r="C3432" s="31" t="s">
        <v>38</v>
      </c>
      <c r="D3432" s="32" t="s">
        <v>39</v>
      </c>
      <c r="E3432" s="4">
        <f>108</f>
        <v>108</v>
      </c>
      <c r="F3432" s="33"/>
      <c r="G3432" s="34"/>
      <c r="H3432" s="4"/>
      <c r="I3432" s="4"/>
      <c r="J3432" s="33">
        <f>SUM(AG3426:AG3431)</f>
        <v>3248.77</v>
      </c>
      <c r="K3432" s="33"/>
      <c r="M3432"/>
      <c r="N3432"/>
      <c r="O3432"/>
      <c r="P3432"/>
      <c r="Q3432"/>
    </row>
    <row r="3433" spans="1:33" ht="15" x14ac:dyDescent="0.25">
      <c r="A3433" s="35"/>
      <c r="B3433" s="35"/>
      <c r="C3433" s="35"/>
      <c r="D3433" s="35"/>
      <c r="E3433" s="35"/>
      <c r="F3433" s="35"/>
      <c r="G3433" s="35"/>
      <c r="H3433" s="35"/>
      <c r="I3433" s="36">
        <f>J3428+J3430+J3432+SUM(J3431:J3431)</f>
        <v>12071.92</v>
      </c>
      <c r="J3433" s="36"/>
      <c r="K3433" s="37">
        <f>IF([1]Source!I3888&lt;&gt;0, ROUND(I3433/[1]Source!I3888, 2), 0)</f>
        <v>2420.63</v>
      </c>
      <c r="M3433"/>
      <c r="N3433"/>
      <c r="O3433"/>
      <c r="P3433"/>
      <c r="Q3433"/>
      <c r="AA3433" s="38">
        <f>I3433</f>
        <v>12071.92</v>
      </c>
    </row>
    <row r="3434" spans="1:33" ht="42.75" x14ac:dyDescent="0.2">
      <c r="A3434" s="31">
        <v>437</v>
      </c>
      <c r="B3434" s="31" t="str">
        <f>[1]Source!F3890</f>
        <v>5.3-1101-15-4/1</v>
      </c>
      <c r="C3434" s="31" t="str">
        <f>[1]Source!G3890</f>
        <v>Полив тротуаров, придомовых и внутрибольничных проездов средствами малой механизации</v>
      </c>
      <c r="D3434" s="32" t="str">
        <f>[1]Source!H3890</f>
        <v>1000 м2</v>
      </c>
      <c r="E3434" s="4">
        <f>[1]Source!I3890</f>
        <v>4.9870999999999999</v>
      </c>
      <c r="F3434" s="33"/>
      <c r="G3434" s="34"/>
      <c r="H3434" s="4"/>
      <c r="I3434" s="4"/>
      <c r="J3434" s="33"/>
      <c r="K3434" s="33"/>
      <c r="M3434"/>
      <c r="N3434"/>
      <c r="O3434"/>
      <c r="P3434"/>
      <c r="Q3434"/>
      <c r="AB3434">
        <f>ROUND(([1]Source!BZ3890/100)*ROUND(([1]Source!AF3890*[1]Source!AV3890)*[1]Source!I3890, 2), 2)</f>
        <v>0</v>
      </c>
      <c r="AC3434">
        <f>[1]Source!X3890</f>
        <v>0</v>
      </c>
      <c r="AD3434">
        <f>ROUND(([1]Source!CA3890/100)*ROUND(([1]Source!AF3890*[1]Source!AV3890)*[1]Source!I3890, 2), 2)</f>
        <v>0</v>
      </c>
      <c r="AE3434">
        <f>[1]Source!Y3890</f>
        <v>0</v>
      </c>
      <c r="AF3434">
        <f>ROUND((175/100)*ROUND(([1]Source!AE3890*[1]Source!AV3890)*[1]Source!I3890, 2), 2)</f>
        <v>301494.13</v>
      </c>
      <c r="AG3434">
        <f>ROUND((108/100)*ROUND([1]Source!CS3890*[1]Source!I3890, 2), 2)</f>
        <v>186064.95</v>
      </c>
    </row>
    <row r="3435" spans="1:33" x14ac:dyDescent="0.2">
      <c r="C3435" s="40" t="str">
        <f>"Объем: "&amp;[1]Source!I3890&amp;"=4987,1/"&amp;"1000"</f>
        <v>Объем: 4,9871=4987,1/1000</v>
      </c>
      <c r="M3435"/>
      <c r="N3435"/>
      <c r="O3435"/>
      <c r="P3435"/>
      <c r="Q3435"/>
    </row>
    <row r="3436" spans="1:33" ht="14.25" x14ac:dyDescent="0.2">
      <c r="A3436" s="31"/>
      <c r="B3436" s="31"/>
      <c r="C3436" s="31" t="s">
        <v>33</v>
      </c>
      <c r="D3436" s="32"/>
      <c r="E3436" s="4"/>
      <c r="F3436" s="33">
        <f>[1]Source!AM3890</f>
        <v>469.69</v>
      </c>
      <c r="G3436" s="34" t="str">
        <f>[1]Source!DE3890</f>
        <v>)*2*90</v>
      </c>
      <c r="H3436" s="4">
        <f>[1]Source!AV3890</f>
        <v>1</v>
      </c>
      <c r="I3436" s="4">
        <f>IF([1]Source!BB3890&lt;&gt; 0, [1]Source!BB3890, 1)</f>
        <v>1</v>
      </c>
      <c r="J3436" s="33">
        <f>[1]Source!Q3890</f>
        <v>421630.38</v>
      </c>
      <c r="K3436" s="33"/>
      <c r="M3436"/>
      <c r="N3436"/>
      <c r="O3436"/>
      <c r="P3436"/>
      <c r="Q3436"/>
    </row>
    <row r="3437" spans="1:33" ht="14.25" x14ac:dyDescent="0.2">
      <c r="A3437" s="31"/>
      <c r="B3437" s="31"/>
      <c r="C3437" s="31" t="s">
        <v>37</v>
      </c>
      <c r="D3437" s="32"/>
      <c r="E3437" s="4"/>
      <c r="F3437" s="33">
        <f>[1]Source!AN3890</f>
        <v>191.92</v>
      </c>
      <c r="G3437" s="34" t="str">
        <f>[1]Source!DF3890</f>
        <v>)*2*90</v>
      </c>
      <c r="H3437" s="4">
        <f>[1]Source!AV3890</f>
        <v>1</v>
      </c>
      <c r="I3437" s="4">
        <f>IF([1]Source!BS3890&lt;&gt; 0, [1]Source!BS3890, 1)</f>
        <v>1</v>
      </c>
      <c r="J3437" s="41">
        <f>[1]Source!R3890</f>
        <v>172282.36</v>
      </c>
      <c r="K3437" s="33"/>
      <c r="M3437"/>
      <c r="N3437"/>
      <c r="O3437"/>
      <c r="P3437"/>
      <c r="Q3437"/>
    </row>
    <row r="3438" spans="1:33" ht="14.25" x14ac:dyDescent="0.2">
      <c r="A3438" s="31"/>
      <c r="B3438" s="31"/>
      <c r="C3438" s="31" t="s">
        <v>47</v>
      </c>
      <c r="D3438" s="32"/>
      <c r="E3438" s="4"/>
      <c r="F3438" s="33">
        <f>[1]Source!AL3890</f>
        <v>14.85</v>
      </c>
      <c r="G3438" s="34" t="str">
        <f>[1]Source!DD3890</f>
        <v>)*2*90</v>
      </c>
      <c r="H3438" s="4">
        <f>[1]Source!AW3890</f>
        <v>1</v>
      </c>
      <c r="I3438" s="4">
        <f>IF([1]Source!BC3890&lt;&gt; 0, [1]Source!BC3890, 1)</f>
        <v>1</v>
      </c>
      <c r="J3438" s="33">
        <f>[1]Source!P3890</f>
        <v>13330.52</v>
      </c>
      <c r="K3438" s="33"/>
      <c r="M3438"/>
      <c r="N3438"/>
      <c r="O3438"/>
      <c r="P3438"/>
      <c r="Q3438"/>
    </row>
    <row r="3439" spans="1:33" ht="14.25" x14ac:dyDescent="0.2">
      <c r="A3439" s="31" t="s">
        <v>173</v>
      </c>
      <c r="B3439" s="31" t="str">
        <f>[1]Source!F3891</f>
        <v>21.1-25-13</v>
      </c>
      <c r="C3439" s="31" t="str">
        <f>[1]Source!G3891</f>
        <v>Вода</v>
      </c>
      <c r="D3439" s="32" t="str">
        <f>[1]Source!H3891</f>
        <v>м3</v>
      </c>
      <c r="E3439" s="4">
        <f>[1]Source!I3891</f>
        <v>-314.18729999999999</v>
      </c>
      <c r="F3439" s="33">
        <f>[1]Source!AK3891</f>
        <v>42.44</v>
      </c>
      <c r="G3439" s="39" t="s">
        <v>104</v>
      </c>
      <c r="H3439" s="4">
        <f>[1]Source!AW3891</f>
        <v>1</v>
      </c>
      <c r="I3439" s="4">
        <f>IF([1]Source!BC3891&lt;&gt; 0, [1]Source!BC3891, 1)</f>
        <v>1</v>
      </c>
      <c r="J3439" s="33">
        <f>[1]Source!O3891</f>
        <v>-13334.11</v>
      </c>
      <c r="K3439" s="33"/>
      <c r="M3439"/>
      <c r="N3439"/>
      <c r="O3439"/>
      <c r="P3439"/>
      <c r="Q3439"/>
      <c r="AB3439">
        <f>ROUND(([1]Source!BZ3891/100)*ROUND(([1]Source!AF3891*[1]Source!AV3891)*[1]Source!I3891, 2), 2)</f>
        <v>0</v>
      </c>
      <c r="AC3439">
        <f>[1]Source!X3891</f>
        <v>0</v>
      </c>
      <c r="AD3439">
        <f>ROUND(([1]Source!CA3891/100)*ROUND(([1]Source!AF3891*[1]Source!AV3891)*[1]Source!I3891, 2), 2)</f>
        <v>0</v>
      </c>
      <c r="AE3439">
        <f>[1]Source!Y3891</f>
        <v>0</v>
      </c>
      <c r="AF3439">
        <f>ROUND((175/100)*ROUND(([1]Source!AE3891*[1]Source!AV3891)*[1]Source!I3891, 2), 2)</f>
        <v>0</v>
      </c>
      <c r="AG3439">
        <f>ROUND((108/100)*ROUND([1]Source!CS3891*[1]Source!I3891, 2), 2)</f>
        <v>0</v>
      </c>
    </row>
    <row r="3440" spans="1:33" ht="14.25" x14ac:dyDescent="0.2">
      <c r="A3440" s="31"/>
      <c r="B3440" s="31"/>
      <c r="C3440" s="31" t="s">
        <v>38</v>
      </c>
      <c r="D3440" s="32" t="s">
        <v>39</v>
      </c>
      <c r="E3440" s="4">
        <f>108</f>
        <v>108</v>
      </c>
      <c r="F3440" s="33"/>
      <c r="G3440" s="34"/>
      <c r="H3440" s="4"/>
      <c r="I3440" s="4"/>
      <c r="J3440" s="33">
        <f>SUM(AG3434:AG3439)</f>
        <v>186064.95</v>
      </c>
      <c r="K3440" s="33"/>
      <c r="M3440"/>
      <c r="N3440"/>
      <c r="O3440"/>
      <c r="P3440"/>
      <c r="Q3440"/>
    </row>
    <row r="3441" spans="1:33" ht="15" x14ac:dyDescent="0.25">
      <c r="A3441" s="35"/>
      <c r="B3441" s="35"/>
      <c r="C3441" s="35"/>
      <c r="D3441" s="35"/>
      <c r="E3441" s="35"/>
      <c r="F3441" s="35"/>
      <c r="G3441" s="35"/>
      <c r="H3441" s="35"/>
      <c r="I3441" s="36">
        <f>J3436+J3438+J3440+SUM(J3439:J3439)</f>
        <v>607691.74000000011</v>
      </c>
      <c r="J3441" s="36"/>
      <c r="K3441" s="37">
        <f>IF([1]Source!I3890&lt;&gt;0, ROUND(I3441/[1]Source!I3890, 2), 0)</f>
        <v>121852.73</v>
      </c>
      <c r="M3441"/>
      <c r="N3441"/>
      <c r="O3441"/>
      <c r="P3441"/>
      <c r="Q3441"/>
      <c r="AA3441" s="38">
        <f>I3441</f>
        <v>607691.74000000011</v>
      </c>
    </row>
    <row r="3442" spans="1:33" x14ac:dyDescent="0.2">
      <c r="M3442"/>
      <c r="N3442"/>
      <c r="O3442"/>
      <c r="P3442"/>
      <c r="Q3442"/>
    </row>
    <row r="3443" spans="1:33" ht="15" x14ac:dyDescent="0.25">
      <c r="A3443" s="42" t="str">
        <f>CONCATENATE("Итого по подразделу: ",IF([1]Source!G3893&lt;&gt;"Новый подраздел", [1]Source!G3893, ""))</f>
        <v>Итого по подразделу: Содержание покрытий " Патриаршего подворья".</v>
      </c>
      <c r="B3443" s="42"/>
      <c r="C3443" s="42"/>
      <c r="D3443" s="42"/>
      <c r="E3443" s="42"/>
      <c r="F3443" s="42"/>
      <c r="G3443" s="42"/>
      <c r="H3443" s="42"/>
      <c r="I3443" s="43">
        <f>SUM(AA3403:AA3442)</f>
        <v>3669611.6100000003</v>
      </c>
      <c r="J3443" s="44"/>
      <c r="K3443" s="47"/>
      <c r="L3443" s="38">
        <f>I3443</f>
        <v>3669611.6100000003</v>
      </c>
      <c r="M3443" s="2">
        <f>ROUND(I3443*$I$4874,2)</f>
        <v>2650218.63</v>
      </c>
      <c r="N3443" s="2">
        <f>ROUND(M3443*1.2/105*100,2)</f>
        <v>3028821.29</v>
      </c>
      <c r="O3443" s="2">
        <f>ROUND(N3443*0.05,2)</f>
        <v>151441.06</v>
      </c>
      <c r="P3443" s="2">
        <f>N3443+O3443</f>
        <v>3180262.35</v>
      </c>
      <c r="Q3443" s="3">
        <v>105</v>
      </c>
      <c r="S3443" s="2">
        <v>0</v>
      </c>
    </row>
    <row r="3444" spans="1:33" x14ac:dyDescent="0.2">
      <c r="M3444"/>
      <c r="N3444"/>
      <c r="O3444"/>
      <c r="P3444"/>
      <c r="Q3444"/>
    </row>
    <row r="3445" spans="1:33" x14ac:dyDescent="0.2">
      <c r="M3445"/>
      <c r="N3445"/>
      <c r="O3445"/>
      <c r="P3445"/>
      <c r="Q3445"/>
    </row>
    <row r="3446" spans="1:33" ht="16.5" x14ac:dyDescent="0.25">
      <c r="A3446" s="29" t="str">
        <f>CONCATENATE("Подраздел: ",IF([1]Source!G3923&lt;&gt;"Новый подраздел", [1]Source!G3923, ""))</f>
        <v>Подраздел: Уход за скамьями.</v>
      </c>
      <c r="B3446" s="29"/>
      <c r="C3446" s="29"/>
      <c r="D3446" s="29"/>
      <c r="E3446" s="29"/>
      <c r="F3446" s="29"/>
      <c r="G3446" s="29"/>
      <c r="H3446" s="29"/>
      <c r="I3446" s="29"/>
      <c r="J3446" s="29"/>
      <c r="K3446" s="29"/>
      <c r="M3446"/>
      <c r="N3446"/>
      <c r="O3446"/>
      <c r="P3446"/>
      <c r="Q3446"/>
    </row>
    <row r="3447" spans="1:33" ht="28.5" x14ac:dyDescent="0.2">
      <c r="A3447" s="31">
        <v>438</v>
      </c>
      <c r="B3447" s="31" t="str">
        <f>[1]Source!F3927</f>
        <v>5.3-1101-10-1/1</v>
      </c>
      <c r="C3447" s="31" t="str">
        <f>[1]Source!G3927</f>
        <v>Протирка садовых диванов и скамеек( 48 м2)</v>
      </c>
      <c r="D3447" s="32" t="str">
        <f>[1]Source!H3927</f>
        <v>100 м2</v>
      </c>
      <c r="E3447" s="4">
        <f>[1]Source!I3927</f>
        <v>0.48</v>
      </c>
      <c r="F3447" s="33"/>
      <c r="G3447" s="34"/>
      <c r="H3447" s="4"/>
      <c r="I3447" s="4"/>
      <c r="J3447" s="33"/>
      <c r="K3447" s="33"/>
      <c r="M3447"/>
      <c r="N3447"/>
      <c r="O3447"/>
      <c r="P3447"/>
      <c r="Q3447"/>
      <c r="AB3447">
        <f>ROUND(([1]Source!BZ3927/100)*ROUND(([1]Source!AF3927*[1]Source!AV3927)*[1]Source!I3927, 2), 2)</f>
        <v>57729.9</v>
      </c>
      <c r="AC3447">
        <f>[1]Source!X3927</f>
        <v>57729.9</v>
      </c>
      <c r="AD3447">
        <f>ROUND(([1]Source!CA3927/100)*ROUND(([1]Source!AF3927*[1]Source!AV3927)*[1]Source!I3927, 2), 2)</f>
        <v>8247.1299999999992</v>
      </c>
      <c r="AE3447">
        <f>[1]Source!Y3927</f>
        <v>8247.1299999999992</v>
      </c>
      <c r="AF3447">
        <f>ROUND((175/100)*ROUND(([1]Source!AE3927*[1]Source!AV3927)*[1]Source!I3927, 2), 2)</f>
        <v>0</v>
      </c>
      <c r="AG3447">
        <f>ROUND((108/100)*ROUND([1]Source!CS3927*[1]Source!I3927, 2), 2)</f>
        <v>0</v>
      </c>
    </row>
    <row r="3448" spans="1:33" x14ac:dyDescent="0.2">
      <c r="C3448" s="40" t="str">
        <f>"Объем: "&amp;[1]Source!I3927&amp;"=48/"&amp;"100"</f>
        <v>Объем: 0,48=48/100</v>
      </c>
      <c r="M3448"/>
      <c r="N3448"/>
      <c r="O3448"/>
      <c r="P3448"/>
      <c r="Q3448"/>
    </row>
    <row r="3449" spans="1:33" ht="14.25" x14ac:dyDescent="0.2">
      <c r="A3449" s="31"/>
      <c r="B3449" s="31"/>
      <c r="C3449" s="31" t="s">
        <v>34</v>
      </c>
      <c r="D3449" s="32"/>
      <c r="E3449" s="4"/>
      <c r="F3449" s="33">
        <f>[1]Source!AO3927</f>
        <v>1301.6300000000001</v>
      </c>
      <c r="G3449" s="34" t="str">
        <f>[1]Source!DG3927</f>
        <v>)*1*132</v>
      </c>
      <c r="H3449" s="4">
        <f>[1]Source!AV3927</f>
        <v>1</v>
      </c>
      <c r="I3449" s="4">
        <f>IF([1]Source!BA3927&lt;&gt; 0, [1]Source!BA3927, 1)</f>
        <v>1</v>
      </c>
      <c r="J3449" s="33">
        <f>[1]Source!S3927</f>
        <v>82471.28</v>
      </c>
      <c r="K3449" s="33"/>
      <c r="M3449"/>
      <c r="N3449"/>
      <c r="O3449"/>
      <c r="P3449"/>
      <c r="Q3449"/>
    </row>
    <row r="3450" spans="1:33" ht="14.25" x14ac:dyDescent="0.2">
      <c r="A3450" s="31"/>
      <c r="B3450" s="31"/>
      <c r="C3450" s="31" t="s">
        <v>47</v>
      </c>
      <c r="D3450" s="32"/>
      <c r="E3450" s="4"/>
      <c r="F3450" s="33">
        <f>[1]Source!AL3927</f>
        <v>2.71</v>
      </c>
      <c r="G3450" s="34" t="str">
        <f>[1]Source!DD3927</f>
        <v>)*1*132</v>
      </c>
      <c r="H3450" s="4">
        <f>[1]Source!AW3927</f>
        <v>1</v>
      </c>
      <c r="I3450" s="4">
        <f>IF([1]Source!BC3927&lt;&gt; 0, [1]Source!BC3927, 1)</f>
        <v>1</v>
      </c>
      <c r="J3450" s="33">
        <f>[1]Source!P3927</f>
        <v>171.71</v>
      </c>
      <c r="K3450" s="33"/>
      <c r="M3450"/>
      <c r="N3450"/>
      <c r="O3450"/>
      <c r="P3450"/>
      <c r="Q3450"/>
    </row>
    <row r="3451" spans="1:33" ht="14.25" x14ac:dyDescent="0.2">
      <c r="A3451" s="31" t="s">
        <v>174</v>
      </c>
      <c r="B3451" s="31" t="str">
        <f>[1]Source!F3928</f>
        <v>21.1-25-13</v>
      </c>
      <c r="C3451" s="31" t="str">
        <f>[1]Source!G3928</f>
        <v>Вода</v>
      </c>
      <c r="D3451" s="32" t="str">
        <f>[1]Source!H3928</f>
        <v>м3</v>
      </c>
      <c r="E3451" s="4">
        <f>[1]Source!I3928</f>
        <v>-0.63360000000000005</v>
      </c>
      <c r="F3451" s="33">
        <f>[1]Source!AK3928</f>
        <v>42.44</v>
      </c>
      <c r="G3451" s="39" t="s">
        <v>132</v>
      </c>
      <c r="H3451" s="4">
        <f>[1]Source!AW3928</f>
        <v>1</v>
      </c>
      <c r="I3451" s="4">
        <f>IF([1]Source!BC3928&lt;&gt; 0, [1]Source!BC3928, 1)</f>
        <v>1</v>
      </c>
      <c r="J3451" s="33">
        <f>[1]Source!O3928</f>
        <v>-26.89</v>
      </c>
      <c r="K3451" s="33"/>
      <c r="M3451"/>
      <c r="N3451"/>
      <c r="O3451"/>
      <c r="P3451"/>
      <c r="Q3451"/>
      <c r="AB3451">
        <f>ROUND(([1]Source!BZ3928/100)*ROUND(([1]Source!AF3928*[1]Source!AV3928)*[1]Source!I3928, 2), 2)</f>
        <v>0</v>
      </c>
      <c r="AC3451">
        <f>[1]Source!X3928</f>
        <v>0</v>
      </c>
      <c r="AD3451">
        <f>ROUND(([1]Source!CA3928/100)*ROUND(([1]Source!AF3928*[1]Source!AV3928)*[1]Source!I3928, 2), 2)</f>
        <v>0</v>
      </c>
      <c r="AE3451">
        <f>[1]Source!Y3928</f>
        <v>0</v>
      </c>
      <c r="AF3451">
        <f>ROUND((175/100)*ROUND(([1]Source!AE3928*[1]Source!AV3928)*[1]Source!I3928, 2), 2)</f>
        <v>0</v>
      </c>
      <c r="AG3451">
        <f>ROUND((108/100)*ROUND([1]Source!CS3928*[1]Source!I3928, 2), 2)</f>
        <v>0</v>
      </c>
    </row>
    <row r="3452" spans="1:33" ht="14.25" x14ac:dyDescent="0.2">
      <c r="A3452" s="31"/>
      <c r="B3452" s="31"/>
      <c r="C3452" s="31" t="s">
        <v>40</v>
      </c>
      <c r="D3452" s="32" t="s">
        <v>39</v>
      </c>
      <c r="E3452" s="4">
        <f>[1]Source!AT3927</f>
        <v>70</v>
      </c>
      <c r="F3452" s="33"/>
      <c r="G3452" s="34"/>
      <c r="H3452" s="4"/>
      <c r="I3452" s="4"/>
      <c r="J3452" s="33">
        <f>SUM(AC3447:AC3451)</f>
        <v>57729.9</v>
      </c>
      <c r="K3452" s="33"/>
      <c r="M3452"/>
      <c r="N3452"/>
      <c r="O3452"/>
      <c r="P3452"/>
      <c r="Q3452"/>
    </row>
    <row r="3453" spans="1:33" ht="14.25" x14ac:dyDescent="0.2">
      <c r="A3453" s="31"/>
      <c r="B3453" s="31"/>
      <c r="C3453" s="31" t="s">
        <v>41</v>
      </c>
      <c r="D3453" s="32" t="s">
        <v>39</v>
      </c>
      <c r="E3453" s="4">
        <f>[1]Source!AU3927</f>
        <v>10</v>
      </c>
      <c r="F3453" s="33"/>
      <c r="G3453" s="34"/>
      <c r="H3453" s="4"/>
      <c r="I3453" s="4"/>
      <c r="J3453" s="33">
        <f>SUM(AE3447:AE3452)</f>
        <v>8247.1299999999992</v>
      </c>
      <c r="K3453" s="33"/>
      <c r="M3453"/>
      <c r="N3453"/>
      <c r="O3453"/>
      <c r="P3453"/>
      <c r="Q3453"/>
    </row>
    <row r="3454" spans="1:33" ht="14.25" x14ac:dyDescent="0.2">
      <c r="A3454" s="31"/>
      <c r="B3454" s="31"/>
      <c r="C3454" s="31" t="s">
        <v>42</v>
      </c>
      <c r="D3454" s="32" t="s">
        <v>43</v>
      </c>
      <c r="E3454" s="4">
        <f>[1]Source!AQ3927</f>
        <v>5.25</v>
      </c>
      <c r="F3454" s="33"/>
      <c r="G3454" s="34" t="str">
        <f>[1]Source!DI3927</f>
        <v>)*1*132</v>
      </c>
      <c r="H3454" s="4">
        <f>[1]Source!AV3927</f>
        <v>1</v>
      </c>
      <c r="I3454" s="4"/>
      <c r="J3454" s="33"/>
      <c r="K3454" s="33">
        <f>[1]Source!U3927</f>
        <v>332.64</v>
      </c>
      <c r="M3454"/>
      <c r="N3454"/>
      <c r="O3454"/>
      <c r="P3454"/>
      <c r="Q3454"/>
    </row>
    <row r="3455" spans="1:33" ht="15" x14ac:dyDescent="0.25">
      <c r="A3455" s="35"/>
      <c r="B3455" s="35"/>
      <c r="C3455" s="35"/>
      <c r="D3455" s="35"/>
      <c r="E3455" s="35"/>
      <c r="F3455" s="35"/>
      <c r="G3455" s="35"/>
      <c r="H3455" s="35"/>
      <c r="I3455" s="36">
        <f>J3449+J3450+J3452+J3453+SUM(J3451:J3451)</f>
        <v>148593.13</v>
      </c>
      <c r="J3455" s="36"/>
      <c r="K3455" s="37">
        <f>IF([1]Source!I3927&lt;&gt;0, ROUND(I3455/[1]Source!I3927, 2), 0)</f>
        <v>309569.02</v>
      </c>
      <c r="M3455"/>
      <c r="N3455"/>
      <c r="O3455"/>
      <c r="P3455"/>
      <c r="Q3455"/>
      <c r="AA3455" s="38">
        <f>I3455</f>
        <v>148593.13</v>
      </c>
    </row>
    <row r="3456" spans="1:33" ht="14.25" x14ac:dyDescent="0.2">
      <c r="A3456" s="31">
        <v>439</v>
      </c>
      <c r="B3456" s="31" t="str">
        <f>[1]Source!F3929</f>
        <v>5.3-1101-9-1/1</v>
      </c>
      <c r="C3456" s="31" t="str">
        <f>[1]Source!G3929</f>
        <v>Мытье садовых диванов и скамеек</v>
      </c>
      <c r="D3456" s="32" t="str">
        <f>[1]Source!H3929</f>
        <v>100 м2</v>
      </c>
      <c r="E3456" s="4">
        <f>[1]Source!I3929</f>
        <v>0.48</v>
      </c>
      <c r="F3456" s="33"/>
      <c r="G3456" s="34"/>
      <c r="H3456" s="4"/>
      <c r="I3456" s="4"/>
      <c r="J3456" s="33"/>
      <c r="K3456" s="33"/>
      <c r="M3456"/>
      <c r="N3456"/>
      <c r="O3456"/>
      <c r="P3456"/>
      <c r="Q3456"/>
      <c r="AB3456">
        <f>ROUND(([1]Source!BZ3929/100)*ROUND(([1]Source!AF3929*[1]Source!AV3929)*[1]Source!I3929, 2), 2)</f>
        <v>5758.02</v>
      </c>
      <c r="AC3456">
        <f>[1]Source!X3929</f>
        <v>5758.02</v>
      </c>
      <c r="AD3456">
        <f>ROUND(([1]Source!CA3929/100)*ROUND(([1]Source!AF3929*[1]Source!AV3929)*[1]Source!I3929, 2), 2)</f>
        <v>822.57</v>
      </c>
      <c r="AE3456">
        <f>[1]Source!Y3929</f>
        <v>822.57</v>
      </c>
      <c r="AF3456">
        <f>ROUND((175/100)*ROUND(([1]Source!AE3929*[1]Source!AV3929)*[1]Source!I3929, 2), 2)</f>
        <v>0</v>
      </c>
      <c r="AG3456">
        <f>ROUND((108/100)*ROUND([1]Source!CS3929*[1]Source!I3929, 2), 2)</f>
        <v>0</v>
      </c>
    </row>
    <row r="3457" spans="1:33" x14ac:dyDescent="0.2">
      <c r="C3457" s="40" t="str">
        <f>"Объем: "&amp;[1]Source!I3929&amp;"=48/"&amp;"100"</f>
        <v>Объем: 0,48=48/100</v>
      </c>
      <c r="M3457"/>
      <c r="N3457"/>
      <c r="O3457"/>
      <c r="P3457"/>
      <c r="Q3457"/>
    </row>
    <row r="3458" spans="1:33" ht="14.25" x14ac:dyDescent="0.2">
      <c r="A3458" s="31"/>
      <c r="B3458" s="31"/>
      <c r="C3458" s="31" t="s">
        <v>34</v>
      </c>
      <c r="D3458" s="32"/>
      <c r="E3458" s="4"/>
      <c r="F3458" s="33">
        <f>[1]Source!AO3929</f>
        <v>1428.08</v>
      </c>
      <c r="G3458" s="34" t="str">
        <f>[1]Source!DG3929</f>
        <v>)*1*12</v>
      </c>
      <c r="H3458" s="4">
        <f>[1]Source!AV3929</f>
        <v>1</v>
      </c>
      <c r="I3458" s="4">
        <f>IF([1]Source!BA3929&lt;&gt; 0, [1]Source!BA3929, 1)</f>
        <v>1</v>
      </c>
      <c r="J3458" s="33">
        <f>[1]Source!S3929</f>
        <v>8225.74</v>
      </c>
      <c r="K3458" s="33"/>
      <c r="M3458"/>
      <c r="N3458"/>
      <c r="O3458"/>
      <c r="P3458"/>
      <c r="Q3458"/>
    </row>
    <row r="3459" spans="1:33" ht="14.25" x14ac:dyDescent="0.2">
      <c r="A3459" s="31"/>
      <c r="B3459" s="31"/>
      <c r="C3459" s="31" t="s">
        <v>47</v>
      </c>
      <c r="D3459" s="32"/>
      <c r="E3459" s="4"/>
      <c r="F3459" s="33">
        <f>[1]Source!AL3929</f>
        <v>5.42</v>
      </c>
      <c r="G3459" s="34" t="str">
        <f>[1]Source!DD3929</f>
        <v>)*1*12</v>
      </c>
      <c r="H3459" s="4">
        <f>[1]Source!AW3929</f>
        <v>1</v>
      </c>
      <c r="I3459" s="4">
        <f>IF([1]Source!BC3929&lt;&gt; 0, [1]Source!BC3929, 1)</f>
        <v>1</v>
      </c>
      <c r="J3459" s="33">
        <f>[1]Source!P3929</f>
        <v>31.22</v>
      </c>
      <c r="K3459" s="33"/>
      <c r="M3459"/>
      <c r="N3459"/>
      <c r="O3459"/>
      <c r="P3459"/>
      <c r="Q3459"/>
    </row>
    <row r="3460" spans="1:33" ht="14.25" x14ac:dyDescent="0.2">
      <c r="A3460" s="31" t="s">
        <v>175</v>
      </c>
      <c r="B3460" s="31" t="str">
        <f>[1]Source!F3930</f>
        <v>21.1-25-13</v>
      </c>
      <c r="C3460" s="31" t="str">
        <f>[1]Source!G3930</f>
        <v>Вода</v>
      </c>
      <c r="D3460" s="32" t="str">
        <f>[1]Source!H3930</f>
        <v>м3</v>
      </c>
      <c r="E3460" s="4">
        <f>[1]Source!I3930</f>
        <v>-0.1152</v>
      </c>
      <c r="F3460" s="33">
        <f>[1]Source!AK3930</f>
        <v>42.44</v>
      </c>
      <c r="G3460" s="39" t="s">
        <v>134</v>
      </c>
      <c r="H3460" s="4">
        <f>[1]Source!AW3930</f>
        <v>1</v>
      </c>
      <c r="I3460" s="4">
        <f>IF([1]Source!BC3930&lt;&gt; 0, [1]Source!BC3930, 1)</f>
        <v>1</v>
      </c>
      <c r="J3460" s="33">
        <f>[1]Source!O3930</f>
        <v>-4.8899999999999997</v>
      </c>
      <c r="K3460" s="33"/>
      <c r="M3460"/>
      <c r="N3460"/>
      <c r="O3460"/>
      <c r="P3460"/>
      <c r="Q3460"/>
      <c r="AB3460">
        <f>ROUND(([1]Source!BZ3930/100)*ROUND(([1]Source!AF3930*[1]Source!AV3930)*[1]Source!I3930, 2), 2)</f>
        <v>0</v>
      </c>
      <c r="AC3460">
        <f>[1]Source!X3930</f>
        <v>0</v>
      </c>
      <c r="AD3460">
        <f>ROUND(([1]Source!CA3930/100)*ROUND(([1]Source!AF3930*[1]Source!AV3930)*[1]Source!I3930, 2), 2)</f>
        <v>0</v>
      </c>
      <c r="AE3460">
        <f>[1]Source!Y3930</f>
        <v>0</v>
      </c>
      <c r="AF3460">
        <f>ROUND((175/100)*ROUND(([1]Source!AE3930*[1]Source!AV3930)*[1]Source!I3930, 2), 2)</f>
        <v>0</v>
      </c>
      <c r="AG3460">
        <f>ROUND((108/100)*ROUND([1]Source!CS3930*[1]Source!I3930, 2), 2)</f>
        <v>0</v>
      </c>
    </row>
    <row r="3461" spans="1:33" ht="14.25" x14ac:dyDescent="0.2">
      <c r="A3461" s="31"/>
      <c r="B3461" s="31"/>
      <c r="C3461" s="31" t="s">
        <v>40</v>
      </c>
      <c r="D3461" s="32" t="s">
        <v>39</v>
      </c>
      <c r="E3461" s="4">
        <f>[1]Source!AT3929</f>
        <v>70</v>
      </c>
      <c r="F3461" s="33"/>
      <c r="G3461" s="34"/>
      <c r="H3461" s="4"/>
      <c r="I3461" s="4"/>
      <c r="J3461" s="33">
        <f>SUM(AC3456:AC3460)</f>
        <v>5758.02</v>
      </c>
      <c r="K3461" s="33"/>
      <c r="M3461"/>
      <c r="N3461"/>
      <c r="O3461"/>
      <c r="P3461"/>
      <c r="Q3461"/>
    </row>
    <row r="3462" spans="1:33" ht="14.25" x14ac:dyDescent="0.2">
      <c r="A3462" s="31"/>
      <c r="B3462" s="31"/>
      <c r="C3462" s="31" t="s">
        <v>41</v>
      </c>
      <c r="D3462" s="32" t="s">
        <v>39</v>
      </c>
      <c r="E3462" s="4">
        <f>[1]Source!AU3929</f>
        <v>10</v>
      </c>
      <c r="F3462" s="33"/>
      <c r="G3462" s="34"/>
      <c r="H3462" s="4"/>
      <c r="I3462" s="4"/>
      <c r="J3462" s="33">
        <f>SUM(AE3456:AE3461)</f>
        <v>822.57</v>
      </c>
      <c r="K3462" s="33"/>
      <c r="M3462"/>
      <c r="N3462"/>
      <c r="O3462"/>
      <c r="P3462"/>
      <c r="Q3462"/>
    </row>
    <row r="3463" spans="1:33" ht="14.25" x14ac:dyDescent="0.2">
      <c r="A3463" s="31"/>
      <c r="B3463" s="31"/>
      <c r="C3463" s="31" t="s">
        <v>42</v>
      </c>
      <c r="D3463" s="32" t="s">
        <v>43</v>
      </c>
      <c r="E3463" s="4">
        <f>[1]Source!AQ3929</f>
        <v>5.76</v>
      </c>
      <c r="F3463" s="33"/>
      <c r="G3463" s="34" t="str">
        <f>[1]Source!DI3929</f>
        <v>)*1*12</v>
      </c>
      <c r="H3463" s="4">
        <f>[1]Source!AV3929</f>
        <v>1</v>
      </c>
      <c r="I3463" s="4"/>
      <c r="J3463" s="33"/>
      <c r="K3463" s="33">
        <f>[1]Source!U3929</f>
        <v>33.177599999999998</v>
      </c>
      <c r="M3463"/>
      <c r="N3463"/>
      <c r="O3463"/>
      <c r="P3463"/>
      <c r="Q3463"/>
    </row>
    <row r="3464" spans="1:33" ht="15" x14ac:dyDescent="0.25">
      <c r="A3464" s="35"/>
      <c r="B3464" s="35"/>
      <c r="C3464" s="35"/>
      <c r="D3464" s="35"/>
      <c r="E3464" s="35"/>
      <c r="F3464" s="35"/>
      <c r="G3464" s="35"/>
      <c r="H3464" s="35"/>
      <c r="I3464" s="36">
        <f>J3458+J3459+J3461+J3462+SUM(J3460:J3460)</f>
        <v>14832.66</v>
      </c>
      <c r="J3464" s="36"/>
      <c r="K3464" s="37">
        <f>IF([1]Source!I3929&lt;&gt;0, ROUND(I3464/[1]Source!I3929, 2), 0)</f>
        <v>30901.38</v>
      </c>
      <c r="M3464"/>
      <c r="N3464"/>
      <c r="O3464"/>
      <c r="P3464"/>
      <c r="Q3464"/>
      <c r="AA3464" s="38">
        <f>I3464</f>
        <v>14832.66</v>
      </c>
    </row>
    <row r="3465" spans="1:33" x14ac:dyDescent="0.2">
      <c r="M3465"/>
      <c r="N3465"/>
      <c r="O3465"/>
      <c r="P3465"/>
      <c r="Q3465"/>
    </row>
    <row r="3466" spans="1:33" ht="15" x14ac:dyDescent="0.25">
      <c r="A3466" s="42" t="str">
        <f>CONCATENATE("Итого по подразделу: ",IF([1]Source!G3932&lt;&gt;"Новый подраздел", [1]Source!G3932, ""))</f>
        <v>Итого по подразделу: Уход за скамьями.</v>
      </c>
      <c r="B3466" s="42"/>
      <c r="C3466" s="42"/>
      <c r="D3466" s="42"/>
      <c r="E3466" s="42"/>
      <c r="F3466" s="42"/>
      <c r="G3466" s="42"/>
      <c r="H3466" s="42"/>
      <c r="I3466" s="43">
        <f>SUM(AA3446:AA3465)</f>
        <v>163425.79</v>
      </c>
      <c r="J3466" s="44"/>
      <c r="K3466" s="47"/>
      <c r="L3466" s="38">
        <f>I3466</f>
        <v>163425.79</v>
      </c>
      <c r="M3466" s="2">
        <f>ROUND(I3466*$I$4874,2)</f>
        <v>118027.22</v>
      </c>
      <c r="N3466" s="2">
        <f>ROUND(M3466*1.2/105*100,2)</f>
        <v>134888.25</v>
      </c>
      <c r="O3466" s="2">
        <f>ROUND(N3466*0.05,2)</f>
        <v>6744.41</v>
      </c>
      <c r="P3466" s="2">
        <f>N3466+O3466</f>
        <v>141632.66</v>
      </c>
      <c r="Q3466" s="3">
        <v>106</v>
      </c>
      <c r="S3466" s="2">
        <v>0</v>
      </c>
    </row>
    <row r="3467" spans="1:33" x14ac:dyDescent="0.2">
      <c r="M3467"/>
      <c r="N3467"/>
      <c r="O3467"/>
      <c r="P3467"/>
      <c r="Q3467"/>
    </row>
    <row r="3468" spans="1:33" x14ac:dyDescent="0.2">
      <c r="M3468"/>
      <c r="N3468"/>
      <c r="O3468"/>
      <c r="P3468"/>
      <c r="Q3468"/>
    </row>
    <row r="3469" spans="1:33" ht="16.5" x14ac:dyDescent="0.25">
      <c r="A3469" s="29" t="str">
        <f>CONCATENATE("Подраздел: ",IF([1]Source!G3962&lt;&gt;"Новый подраздел", [1]Source!G3962, ""))</f>
        <v>Подраздел: Уход за лестницами</v>
      </c>
      <c r="B3469" s="29"/>
      <c r="C3469" s="29"/>
      <c r="D3469" s="29"/>
      <c r="E3469" s="29"/>
      <c r="F3469" s="29"/>
      <c r="G3469" s="29"/>
      <c r="H3469" s="29"/>
      <c r="I3469" s="29"/>
      <c r="J3469" s="29"/>
      <c r="K3469" s="29"/>
      <c r="M3469"/>
      <c r="N3469"/>
      <c r="O3469"/>
      <c r="P3469"/>
      <c r="Q3469"/>
    </row>
    <row r="3470" spans="1:33" ht="28.5" x14ac:dyDescent="0.2">
      <c r="A3470" s="31">
        <v>440</v>
      </c>
      <c r="B3470" s="31" t="str">
        <f>[1]Source!F3966</f>
        <v>5.3-1101-13-1/1</v>
      </c>
      <c r="C3470" s="31" t="str">
        <f>[1]Source!G3966</f>
        <v>Подметание вручную дорожек и площадок с твердым покрытием</v>
      </c>
      <c r="D3470" s="32" t="str">
        <f>[1]Source!H3966</f>
        <v>100 м2</v>
      </c>
      <c r="E3470" s="4">
        <f>[1]Source!I3966</f>
        <v>1.514</v>
      </c>
      <c r="F3470" s="33"/>
      <c r="G3470" s="34"/>
      <c r="H3470" s="4"/>
      <c r="I3470" s="4"/>
      <c r="J3470" s="33"/>
      <c r="K3470" s="33"/>
      <c r="M3470"/>
      <c r="N3470"/>
      <c r="O3470"/>
      <c r="P3470"/>
      <c r="Q3470"/>
      <c r="AB3470">
        <f>ROUND(([1]Source!BZ3966/100)*ROUND(([1]Source!AF3966*[1]Source!AV3966)*[1]Source!I3966, 2), 2)</f>
        <v>29281.39</v>
      </c>
      <c r="AC3470">
        <f>[1]Source!X3966</f>
        <v>29281.39</v>
      </c>
      <c r="AD3470">
        <f>ROUND(([1]Source!CA3966/100)*ROUND(([1]Source!AF3966*[1]Source!AV3966)*[1]Source!I3966, 2), 2)</f>
        <v>4183.0600000000004</v>
      </c>
      <c r="AE3470">
        <f>[1]Source!Y3966</f>
        <v>4183.0600000000004</v>
      </c>
      <c r="AF3470">
        <f>ROUND((175/100)*ROUND(([1]Source!AE3966*[1]Source!AV3966)*[1]Source!I3966, 2), 2)</f>
        <v>0</v>
      </c>
      <c r="AG3470">
        <f>ROUND((108/100)*ROUND([1]Source!CS3966*[1]Source!I3966, 2), 2)</f>
        <v>0</v>
      </c>
    </row>
    <row r="3471" spans="1:33" x14ac:dyDescent="0.2">
      <c r="C3471" s="40" t="str">
        <f>"Объем: "&amp;[1]Source!I3966&amp;"=151,4/"&amp;"100"</f>
        <v>Объем: 1,514=151,4/100</v>
      </c>
      <c r="M3471"/>
      <c r="N3471"/>
      <c r="O3471"/>
      <c r="P3471"/>
      <c r="Q3471"/>
    </row>
    <row r="3472" spans="1:33" ht="14.25" x14ac:dyDescent="0.2">
      <c r="A3472" s="31"/>
      <c r="B3472" s="31"/>
      <c r="C3472" s="31" t="s">
        <v>34</v>
      </c>
      <c r="D3472" s="32"/>
      <c r="E3472" s="4"/>
      <c r="F3472" s="33">
        <f>[1]Source!AO3966</f>
        <v>34.71</v>
      </c>
      <c r="G3472" s="34" t="str">
        <f>[1]Source!DG3966</f>
        <v>)*2*398</v>
      </c>
      <c r="H3472" s="4">
        <f>[1]Source!AV3966</f>
        <v>1</v>
      </c>
      <c r="I3472" s="4">
        <f>IF([1]Source!BA3966&lt;&gt; 0, [1]Source!BA3966, 1)</f>
        <v>1</v>
      </c>
      <c r="J3472" s="33">
        <f>[1]Source!S3966</f>
        <v>41830.550000000003</v>
      </c>
      <c r="K3472" s="33"/>
      <c r="M3472"/>
      <c r="N3472"/>
      <c r="O3472"/>
      <c r="P3472"/>
      <c r="Q3472"/>
    </row>
    <row r="3473" spans="1:33" ht="14.25" x14ac:dyDescent="0.2">
      <c r="A3473" s="31"/>
      <c r="B3473" s="31"/>
      <c r="C3473" s="31" t="s">
        <v>40</v>
      </c>
      <c r="D3473" s="32" t="s">
        <v>39</v>
      </c>
      <c r="E3473" s="4">
        <f>[1]Source!AT3966</f>
        <v>70</v>
      </c>
      <c r="F3473" s="33"/>
      <c r="G3473" s="34"/>
      <c r="H3473" s="4"/>
      <c r="I3473" s="4"/>
      <c r="J3473" s="33">
        <f>SUM(AC3470:AC3472)</f>
        <v>29281.39</v>
      </c>
      <c r="K3473" s="33"/>
      <c r="M3473"/>
      <c r="N3473"/>
      <c r="O3473"/>
      <c r="P3473"/>
      <c r="Q3473"/>
    </row>
    <row r="3474" spans="1:33" ht="14.25" x14ac:dyDescent="0.2">
      <c r="A3474" s="31"/>
      <c r="B3474" s="31"/>
      <c r="C3474" s="31" t="s">
        <v>41</v>
      </c>
      <c r="D3474" s="32" t="s">
        <v>39</v>
      </c>
      <c r="E3474" s="4">
        <f>[1]Source!AU3966</f>
        <v>10</v>
      </c>
      <c r="F3474" s="33"/>
      <c r="G3474" s="34"/>
      <c r="H3474" s="4"/>
      <c r="I3474" s="4"/>
      <c r="J3474" s="33">
        <f>SUM(AE3470:AE3473)</f>
        <v>4183.0600000000004</v>
      </c>
      <c r="K3474" s="33"/>
      <c r="M3474"/>
      <c r="N3474"/>
      <c r="O3474"/>
      <c r="P3474"/>
      <c r="Q3474"/>
    </row>
    <row r="3475" spans="1:33" ht="14.25" x14ac:dyDescent="0.2">
      <c r="A3475" s="31"/>
      <c r="B3475" s="31"/>
      <c r="C3475" s="31" t="s">
        <v>42</v>
      </c>
      <c r="D3475" s="32" t="s">
        <v>43</v>
      </c>
      <c r="E3475" s="4">
        <f>[1]Source!AQ3966</f>
        <v>0.14000000000000001</v>
      </c>
      <c r="F3475" s="33"/>
      <c r="G3475" s="34" t="str">
        <f>[1]Source!DI3966</f>
        <v>)*2*398</v>
      </c>
      <c r="H3475" s="4">
        <f>[1]Source!AV3966</f>
        <v>1</v>
      </c>
      <c r="I3475" s="4"/>
      <c r="J3475" s="33"/>
      <c r="K3475" s="33">
        <f>[1]Source!U3966</f>
        <v>168.72016000000002</v>
      </c>
      <c r="M3475"/>
      <c r="N3475"/>
      <c r="O3475"/>
      <c r="P3475"/>
      <c r="Q3475"/>
    </row>
    <row r="3476" spans="1:33" ht="15" x14ac:dyDescent="0.25">
      <c r="A3476" s="35"/>
      <c r="B3476" s="35"/>
      <c r="C3476" s="35"/>
      <c r="D3476" s="35"/>
      <c r="E3476" s="35"/>
      <c r="F3476" s="35"/>
      <c r="G3476" s="35"/>
      <c r="H3476" s="35"/>
      <c r="I3476" s="36">
        <f>J3472+J3473+J3474</f>
        <v>75295</v>
      </c>
      <c r="J3476" s="36"/>
      <c r="K3476" s="37">
        <f>IF([1]Source!I3966&lt;&gt;0, ROUND(I3476/[1]Source!I3966, 2), 0)</f>
        <v>49732.5</v>
      </c>
      <c r="M3476"/>
      <c r="N3476"/>
      <c r="O3476"/>
      <c r="P3476"/>
      <c r="Q3476"/>
      <c r="AA3476" s="38">
        <f>I3476</f>
        <v>75295</v>
      </c>
    </row>
    <row r="3477" spans="1:33" ht="28.5" x14ac:dyDescent="0.2">
      <c r="A3477" s="31">
        <v>441</v>
      </c>
      <c r="B3477" s="31" t="str">
        <f>[1]Source!F3967</f>
        <v>5.3-1101-14-1/1</v>
      </c>
      <c r="C3477" s="31" t="str">
        <f>[1]Source!G3967</f>
        <v>Полив дорожек из шланга вручную( промывка пролета)</v>
      </c>
      <c r="D3477" s="32" t="str">
        <f>[1]Source!H3967</f>
        <v>100 м2</v>
      </c>
      <c r="E3477" s="4">
        <f>[1]Source!I3967</f>
        <v>1.514</v>
      </c>
      <c r="F3477" s="33"/>
      <c r="G3477" s="34"/>
      <c r="H3477" s="4"/>
      <c r="I3477" s="4"/>
      <c r="J3477" s="33"/>
      <c r="K3477" s="33"/>
      <c r="M3477"/>
      <c r="N3477"/>
      <c r="O3477"/>
      <c r="P3477"/>
      <c r="Q3477"/>
      <c r="AB3477">
        <f>ROUND(([1]Source!BZ3967/100)*ROUND(([1]Source!AF3967*[1]Source!AV3967)*[1]Source!I3967, 2), 2)</f>
        <v>1981.13</v>
      </c>
      <c r="AC3477">
        <f>[1]Source!X3967</f>
        <v>1981.13</v>
      </c>
      <c r="AD3477">
        <f>ROUND(([1]Source!CA3967/100)*ROUND(([1]Source!AF3967*[1]Source!AV3967)*[1]Source!I3967, 2), 2)</f>
        <v>283.02</v>
      </c>
      <c r="AE3477">
        <f>[1]Source!Y3967</f>
        <v>283.02</v>
      </c>
      <c r="AF3477">
        <f>ROUND((175/100)*ROUND(([1]Source!AE3967*[1]Source!AV3967)*[1]Source!I3967, 2), 2)</f>
        <v>0</v>
      </c>
      <c r="AG3477">
        <f>ROUND((108/100)*ROUND([1]Source!CS3967*[1]Source!I3967, 2), 2)</f>
        <v>0</v>
      </c>
    </row>
    <row r="3478" spans="1:33" x14ac:dyDescent="0.2">
      <c r="C3478" s="40" t="str">
        <f>"Объем: "&amp;[1]Source!I3967&amp;"=151,4/"&amp;"100"</f>
        <v>Объем: 1,514=151,4/100</v>
      </c>
      <c r="M3478"/>
      <c r="N3478"/>
      <c r="O3478"/>
      <c r="P3478"/>
      <c r="Q3478"/>
    </row>
    <row r="3479" spans="1:33" ht="14.25" x14ac:dyDescent="0.2">
      <c r="A3479" s="31"/>
      <c r="B3479" s="31"/>
      <c r="C3479" s="31" t="s">
        <v>34</v>
      </c>
      <c r="D3479" s="32"/>
      <c r="E3479" s="4"/>
      <c r="F3479" s="33">
        <f>[1]Source!AO3967</f>
        <v>32.229999999999997</v>
      </c>
      <c r="G3479" s="34" t="str">
        <f>[1]Source!DG3967</f>
        <v>)*1*58</v>
      </c>
      <c r="H3479" s="4">
        <f>[1]Source!AV3967</f>
        <v>1</v>
      </c>
      <c r="I3479" s="4">
        <f>IF([1]Source!BA3967&lt;&gt; 0, [1]Source!BA3967, 1)</f>
        <v>1</v>
      </c>
      <c r="J3479" s="33">
        <f>[1]Source!S3967</f>
        <v>2830.18</v>
      </c>
      <c r="K3479" s="33"/>
      <c r="M3479"/>
      <c r="N3479"/>
      <c r="O3479"/>
      <c r="P3479"/>
      <c r="Q3479"/>
    </row>
    <row r="3480" spans="1:33" ht="14.25" x14ac:dyDescent="0.2">
      <c r="A3480" s="31"/>
      <c r="B3480" s="31"/>
      <c r="C3480" s="31" t="s">
        <v>47</v>
      </c>
      <c r="D3480" s="32"/>
      <c r="E3480" s="4"/>
      <c r="F3480" s="33">
        <f>[1]Source!AL3967</f>
        <v>4.24</v>
      </c>
      <c r="G3480" s="34" t="str">
        <f>[1]Source!DD3967</f>
        <v>)*1*58</v>
      </c>
      <c r="H3480" s="4">
        <f>[1]Source!AW3967</f>
        <v>1</v>
      </c>
      <c r="I3480" s="4">
        <f>IF([1]Source!BC3967&lt;&gt; 0, [1]Source!BC3967, 1)</f>
        <v>1</v>
      </c>
      <c r="J3480" s="33">
        <f>[1]Source!P3967</f>
        <v>372.32</v>
      </c>
      <c r="K3480" s="33"/>
      <c r="M3480"/>
      <c r="N3480"/>
      <c r="O3480"/>
      <c r="P3480"/>
      <c r="Q3480"/>
    </row>
    <row r="3481" spans="1:33" ht="14.25" x14ac:dyDescent="0.2">
      <c r="A3481" s="31" t="s">
        <v>176</v>
      </c>
      <c r="B3481" s="31" t="str">
        <f>[1]Source!F3968</f>
        <v>21.1-25-13</v>
      </c>
      <c r="C3481" s="31" t="str">
        <f>[1]Source!G3968</f>
        <v>Вода</v>
      </c>
      <c r="D3481" s="32" t="str">
        <f>[1]Source!H3968</f>
        <v>м3</v>
      </c>
      <c r="E3481" s="4">
        <f>[1]Source!I3968</f>
        <v>-8.7812000000000001</v>
      </c>
      <c r="F3481" s="33">
        <f>[1]Source!AK3968</f>
        <v>42.44</v>
      </c>
      <c r="G3481" s="39" t="s">
        <v>121</v>
      </c>
      <c r="H3481" s="4">
        <f>[1]Source!AW3968</f>
        <v>1</v>
      </c>
      <c r="I3481" s="4">
        <f>IF([1]Source!BC3968&lt;&gt; 0, [1]Source!BC3968, 1)</f>
        <v>1</v>
      </c>
      <c r="J3481" s="33">
        <f>[1]Source!O3968</f>
        <v>-372.67</v>
      </c>
      <c r="K3481" s="33"/>
      <c r="M3481"/>
      <c r="N3481"/>
      <c r="O3481"/>
      <c r="P3481"/>
      <c r="Q3481"/>
      <c r="AB3481">
        <f>ROUND(([1]Source!BZ3968/100)*ROUND(([1]Source!AF3968*[1]Source!AV3968)*[1]Source!I3968, 2), 2)</f>
        <v>0</v>
      </c>
      <c r="AC3481">
        <f>[1]Source!X3968</f>
        <v>0</v>
      </c>
      <c r="AD3481">
        <f>ROUND(([1]Source!CA3968/100)*ROUND(([1]Source!AF3968*[1]Source!AV3968)*[1]Source!I3968, 2), 2)</f>
        <v>0</v>
      </c>
      <c r="AE3481">
        <f>[1]Source!Y3968</f>
        <v>0</v>
      </c>
      <c r="AF3481">
        <f>ROUND((175/100)*ROUND(([1]Source!AE3968*[1]Source!AV3968)*[1]Source!I3968, 2), 2)</f>
        <v>0</v>
      </c>
      <c r="AG3481">
        <f>ROUND((108/100)*ROUND([1]Source!CS3968*[1]Source!I3968, 2), 2)</f>
        <v>0</v>
      </c>
    </row>
    <row r="3482" spans="1:33" ht="14.25" x14ac:dyDescent="0.2">
      <c r="A3482" s="31"/>
      <c r="B3482" s="31"/>
      <c r="C3482" s="31" t="s">
        <v>40</v>
      </c>
      <c r="D3482" s="32" t="s">
        <v>39</v>
      </c>
      <c r="E3482" s="4">
        <f>[1]Source!AT3967</f>
        <v>70</v>
      </c>
      <c r="F3482" s="33"/>
      <c r="G3482" s="34"/>
      <c r="H3482" s="4"/>
      <c r="I3482" s="4"/>
      <c r="J3482" s="33">
        <f>SUM(AC3477:AC3481)</f>
        <v>1981.13</v>
      </c>
      <c r="K3482" s="33"/>
      <c r="M3482"/>
      <c r="N3482"/>
      <c r="O3482"/>
      <c r="P3482"/>
      <c r="Q3482"/>
    </row>
    <row r="3483" spans="1:33" ht="14.25" x14ac:dyDescent="0.2">
      <c r="A3483" s="31"/>
      <c r="B3483" s="31"/>
      <c r="C3483" s="31" t="s">
        <v>41</v>
      </c>
      <c r="D3483" s="32" t="s">
        <v>39</v>
      </c>
      <c r="E3483" s="4">
        <f>[1]Source!AU3967</f>
        <v>10</v>
      </c>
      <c r="F3483" s="33"/>
      <c r="G3483" s="34"/>
      <c r="H3483" s="4"/>
      <c r="I3483" s="4"/>
      <c r="J3483" s="33">
        <f>SUM(AE3477:AE3482)</f>
        <v>283.02</v>
      </c>
      <c r="K3483" s="33"/>
      <c r="M3483"/>
      <c r="N3483"/>
      <c r="O3483"/>
      <c r="P3483"/>
      <c r="Q3483"/>
    </row>
    <row r="3484" spans="1:33" ht="14.25" x14ac:dyDescent="0.2">
      <c r="A3484" s="31"/>
      <c r="B3484" s="31"/>
      <c r="C3484" s="31" t="s">
        <v>42</v>
      </c>
      <c r="D3484" s="32" t="s">
        <v>43</v>
      </c>
      <c r="E3484" s="4">
        <f>[1]Source!AQ3967</f>
        <v>0.13</v>
      </c>
      <c r="F3484" s="33"/>
      <c r="G3484" s="34" t="str">
        <f>[1]Source!DI3967</f>
        <v>)*1*58</v>
      </c>
      <c r="H3484" s="4">
        <f>[1]Source!AV3967</f>
        <v>1</v>
      </c>
      <c r="I3484" s="4"/>
      <c r="J3484" s="33"/>
      <c r="K3484" s="33">
        <f>[1]Source!U3967</f>
        <v>11.415559999999999</v>
      </c>
      <c r="M3484"/>
      <c r="N3484"/>
      <c r="O3484"/>
      <c r="P3484"/>
      <c r="Q3484"/>
    </row>
    <row r="3485" spans="1:33" ht="15" x14ac:dyDescent="0.25">
      <c r="A3485" s="35"/>
      <c r="B3485" s="35"/>
      <c r="C3485" s="35"/>
      <c r="D3485" s="35"/>
      <c r="E3485" s="35"/>
      <c r="F3485" s="35"/>
      <c r="G3485" s="35"/>
      <c r="H3485" s="35"/>
      <c r="I3485" s="36">
        <f>J3479+J3480+J3482+J3483+SUM(J3481:J3481)</f>
        <v>5093.9799999999996</v>
      </c>
      <c r="J3485" s="36"/>
      <c r="K3485" s="37">
        <f>IF([1]Source!I3967&lt;&gt;0, ROUND(I3485/[1]Source!I3967, 2), 0)</f>
        <v>3364.58</v>
      </c>
      <c r="M3485"/>
      <c r="N3485"/>
      <c r="O3485"/>
      <c r="P3485"/>
      <c r="Q3485"/>
      <c r="AA3485" s="38">
        <f>I3485</f>
        <v>5093.9799999999996</v>
      </c>
    </row>
    <row r="3486" spans="1:33" x14ac:dyDescent="0.2">
      <c r="M3486"/>
      <c r="N3486"/>
      <c r="O3486"/>
      <c r="P3486"/>
      <c r="Q3486"/>
    </row>
    <row r="3487" spans="1:33" ht="15" x14ac:dyDescent="0.25">
      <c r="A3487" s="42" t="str">
        <f>CONCATENATE("Итого по подразделу: ",IF([1]Source!G3970&lt;&gt;"Новый подраздел", [1]Source!G3970, ""))</f>
        <v>Итого по подразделу: Уход за лестницами</v>
      </c>
      <c r="B3487" s="42"/>
      <c r="C3487" s="42"/>
      <c r="D3487" s="42"/>
      <c r="E3487" s="42"/>
      <c r="F3487" s="42"/>
      <c r="G3487" s="42"/>
      <c r="H3487" s="42"/>
      <c r="I3487" s="43">
        <f>SUM(AA3469:AA3486)</f>
        <v>80388.98</v>
      </c>
      <c r="J3487" s="44"/>
      <c r="K3487" s="47"/>
      <c r="L3487" s="38">
        <f>I3487</f>
        <v>80388.98</v>
      </c>
      <c r="M3487" s="2">
        <f>ROUND(I3487*$I$4874,2)</f>
        <v>58057.47</v>
      </c>
      <c r="N3487" s="2">
        <f>ROUND(M3487*1.2/105*100,2)</f>
        <v>66351.39</v>
      </c>
      <c r="O3487" s="2">
        <f>ROUND(N3487*0.05,2)</f>
        <v>3317.57</v>
      </c>
      <c r="P3487" s="2">
        <f>N3487+O3487</f>
        <v>69668.960000000006</v>
      </c>
      <c r="Q3487" s="3">
        <v>107</v>
      </c>
      <c r="S3487" s="2">
        <v>0</v>
      </c>
    </row>
    <row r="3488" spans="1:33" x14ac:dyDescent="0.2">
      <c r="M3488"/>
      <c r="N3488"/>
      <c r="O3488"/>
      <c r="P3488"/>
      <c r="Q3488"/>
    </row>
    <row r="3489" spans="1:33" x14ac:dyDescent="0.2">
      <c r="M3489"/>
      <c r="N3489"/>
      <c r="O3489"/>
      <c r="P3489"/>
      <c r="Q3489"/>
    </row>
    <row r="3490" spans="1:33" ht="16.5" x14ac:dyDescent="0.25">
      <c r="A3490" s="29" t="str">
        <f>CONCATENATE("Подраздел: ",IF([1]Source!G4000&lt;&gt;"Новый подраздел", [1]Source!G4000, ""))</f>
        <v>Подраздел: Водоотводные лотки</v>
      </c>
      <c r="B3490" s="29"/>
      <c r="C3490" s="29"/>
      <c r="D3490" s="29"/>
      <c r="E3490" s="29"/>
      <c r="F3490" s="29"/>
      <c r="G3490" s="29"/>
      <c r="H3490" s="29"/>
      <c r="I3490" s="29"/>
      <c r="J3490" s="29"/>
      <c r="K3490" s="29"/>
      <c r="M3490"/>
      <c r="N3490"/>
      <c r="O3490"/>
      <c r="P3490"/>
      <c r="Q3490"/>
    </row>
    <row r="3491" spans="1:33" ht="28.5" x14ac:dyDescent="0.2">
      <c r="A3491" s="31">
        <v>442</v>
      </c>
      <c r="B3491" s="31" t="str">
        <f>[1]Source!F4004</f>
        <v>5.3-1101-20-1/1</v>
      </c>
      <c r="C3491" s="31" t="str">
        <f>[1]Source!G4004</f>
        <v>Прочистка водоотводных лотков в отмостке</v>
      </c>
      <c r="D3491" s="32" t="str">
        <f>[1]Source!H4004</f>
        <v>10 м</v>
      </c>
      <c r="E3491" s="4">
        <f>[1]Source!I4004</f>
        <v>63.34</v>
      </c>
      <c r="F3491" s="33"/>
      <c r="G3491" s="34"/>
      <c r="H3491" s="4"/>
      <c r="I3491" s="4"/>
      <c r="J3491" s="33"/>
      <c r="K3491" s="33"/>
      <c r="M3491"/>
      <c r="N3491"/>
      <c r="O3491"/>
      <c r="P3491"/>
      <c r="Q3491"/>
      <c r="AB3491">
        <f>ROUND(([1]Source!BZ4004/100)*ROUND(([1]Source!AF4004*[1]Source!AV4004)*[1]Source!I4004, 2), 2)</f>
        <v>195947.36</v>
      </c>
      <c r="AC3491">
        <f>[1]Source!X4004</f>
        <v>195947.36</v>
      </c>
      <c r="AD3491">
        <f>ROUND(([1]Source!CA4004/100)*ROUND(([1]Source!AF4004*[1]Source!AV4004)*[1]Source!I4004, 2), 2)</f>
        <v>27992.48</v>
      </c>
      <c r="AE3491">
        <f>[1]Source!Y4004</f>
        <v>27992.48</v>
      </c>
      <c r="AF3491">
        <f>ROUND((175/100)*ROUND(([1]Source!AE4004*[1]Source!AV4004)*[1]Source!I4004, 2), 2)</f>
        <v>0</v>
      </c>
      <c r="AG3491">
        <f>ROUND((108/100)*ROUND([1]Source!CS4004*[1]Source!I4004, 2), 2)</f>
        <v>0</v>
      </c>
    </row>
    <row r="3492" spans="1:33" x14ac:dyDescent="0.2">
      <c r="C3492" s="40" t="str">
        <f>"Объем: "&amp;[1]Source!I4004&amp;"=633,4/"&amp;"10"</f>
        <v>Объем: 63,34=633,4/10</v>
      </c>
      <c r="M3492"/>
      <c r="N3492"/>
      <c r="O3492"/>
      <c r="P3492"/>
      <c r="Q3492"/>
    </row>
    <row r="3493" spans="1:33" ht="14.25" x14ac:dyDescent="0.2">
      <c r="A3493" s="31"/>
      <c r="B3493" s="31"/>
      <c r="C3493" s="31" t="s">
        <v>34</v>
      </c>
      <c r="D3493" s="32"/>
      <c r="E3493" s="4"/>
      <c r="F3493" s="33">
        <f>[1]Source!AO4004</f>
        <v>220.97</v>
      </c>
      <c r="G3493" s="34" t="str">
        <f>[1]Source!DG4004</f>
        <v>)*1*20</v>
      </c>
      <c r="H3493" s="4">
        <f>[1]Source!AV4004</f>
        <v>1</v>
      </c>
      <c r="I3493" s="4">
        <f>IF([1]Source!BA4004&lt;&gt; 0, [1]Source!BA4004, 1)</f>
        <v>1</v>
      </c>
      <c r="J3493" s="33">
        <f>[1]Source!S4004</f>
        <v>279924.8</v>
      </c>
      <c r="K3493" s="33"/>
      <c r="M3493"/>
      <c r="N3493"/>
      <c r="O3493"/>
      <c r="P3493"/>
      <c r="Q3493"/>
    </row>
    <row r="3494" spans="1:33" ht="14.25" x14ac:dyDescent="0.2">
      <c r="A3494" s="31"/>
      <c r="B3494" s="31"/>
      <c r="C3494" s="31" t="s">
        <v>40</v>
      </c>
      <c r="D3494" s="32" t="s">
        <v>39</v>
      </c>
      <c r="E3494" s="4">
        <f>[1]Source!AT4004</f>
        <v>70</v>
      </c>
      <c r="F3494" s="33"/>
      <c r="G3494" s="34"/>
      <c r="H3494" s="4"/>
      <c r="I3494" s="4"/>
      <c r="J3494" s="33">
        <f>SUM(AC3491:AC3493)</f>
        <v>195947.36</v>
      </c>
      <c r="K3494" s="33"/>
      <c r="M3494"/>
      <c r="N3494"/>
      <c r="O3494"/>
      <c r="P3494"/>
      <c r="Q3494"/>
    </row>
    <row r="3495" spans="1:33" ht="14.25" x14ac:dyDescent="0.2">
      <c r="A3495" s="31"/>
      <c r="B3495" s="31"/>
      <c r="C3495" s="31" t="s">
        <v>41</v>
      </c>
      <c r="D3495" s="32" t="s">
        <v>39</v>
      </c>
      <c r="E3495" s="4">
        <f>[1]Source!AU4004</f>
        <v>10</v>
      </c>
      <c r="F3495" s="33"/>
      <c r="G3495" s="34"/>
      <c r="H3495" s="4"/>
      <c r="I3495" s="4"/>
      <c r="J3495" s="33">
        <f>SUM(AE3491:AE3494)</f>
        <v>27992.48</v>
      </c>
      <c r="K3495" s="33"/>
      <c r="M3495"/>
      <c r="N3495"/>
      <c r="O3495"/>
      <c r="P3495"/>
      <c r="Q3495"/>
    </row>
    <row r="3496" spans="1:33" ht="14.25" x14ac:dyDescent="0.2">
      <c r="A3496" s="31"/>
      <c r="B3496" s="31"/>
      <c r="C3496" s="31" t="s">
        <v>42</v>
      </c>
      <c r="D3496" s="32" t="s">
        <v>43</v>
      </c>
      <c r="E3496" s="4">
        <f>[1]Source!AQ4004</f>
        <v>1.24</v>
      </c>
      <c r="F3496" s="33"/>
      <c r="G3496" s="34" t="str">
        <f>[1]Source!DI4004</f>
        <v>)*1*20</v>
      </c>
      <c r="H3496" s="4">
        <f>[1]Source!AV4004</f>
        <v>1</v>
      </c>
      <c r="I3496" s="4"/>
      <c r="J3496" s="33"/>
      <c r="K3496" s="33">
        <f>[1]Source!U4004</f>
        <v>1570.8320000000001</v>
      </c>
      <c r="M3496"/>
      <c r="N3496"/>
      <c r="O3496"/>
      <c r="P3496"/>
      <c r="Q3496"/>
    </row>
    <row r="3497" spans="1:33" ht="15" x14ac:dyDescent="0.25">
      <c r="A3497" s="35"/>
      <c r="B3497" s="35"/>
      <c r="C3497" s="35"/>
      <c r="D3497" s="35"/>
      <c r="E3497" s="35"/>
      <c r="F3497" s="35"/>
      <c r="G3497" s="35"/>
      <c r="H3497" s="35"/>
      <c r="I3497" s="36">
        <f>J3493+J3494+J3495</f>
        <v>503864.63999999996</v>
      </c>
      <c r="J3497" s="36"/>
      <c r="K3497" s="37">
        <f>IF([1]Source!I4004&lt;&gt;0, ROUND(I3497/[1]Source!I4004, 2), 0)</f>
        <v>7954.92</v>
      </c>
      <c r="M3497"/>
      <c r="N3497"/>
      <c r="O3497"/>
      <c r="P3497"/>
      <c r="Q3497"/>
      <c r="AA3497" s="38">
        <f>I3497</f>
        <v>503864.63999999996</v>
      </c>
    </row>
    <row r="3498" spans="1:33" x14ac:dyDescent="0.2">
      <c r="M3498"/>
      <c r="N3498"/>
      <c r="O3498"/>
      <c r="P3498"/>
      <c r="Q3498"/>
    </row>
    <row r="3499" spans="1:33" ht="15" x14ac:dyDescent="0.25">
      <c r="A3499" s="42" t="str">
        <f>CONCATENATE("Итого по подразделу: ",IF([1]Source!G4006&lt;&gt;"Новый подраздел", [1]Source!G4006, ""))</f>
        <v>Итого по подразделу: Водоотводные лотки</v>
      </c>
      <c r="B3499" s="42"/>
      <c r="C3499" s="42"/>
      <c r="D3499" s="42"/>
      <c r="E3499" s="42"/>
      <c r="F3499" s="42"/>
      <c r="G3499" s="42"/>
      <c r="H3499" s="42"/>
      <c r="I3499" s="43">
        <f>SUM(AA3490:AA3498)</f>
        <v>503864.63999999996</v>
      </c>
      <c r="J3499" s="44"/>
      <c r="K3499" s="47"/>
      <c r="L3499" s="38">
        <f>I3499</f>
        <v>503864.63999999996</v>
      </c>
      <c r="M3499" s="2">
        <f>ROUND(I3499*$I$4874,2)</f>
        <v>363894.49</v>
      </c>
      <c r="N3499" s="2">
        <f>ROUND(M3499*1.2/105*100,2)</f>
        <v>415879.42</v>
      </c>
      <c r="O3499" s="2">
        <f>ROUND(N3499*0.05,2)</f>
        <v>20793.97</v>
      </c>
      <c r="P3499" s="2">
        <f>N3499+O3499</f>
        <v>436673.39</v>
      </c>
      <c r="Q3499" s="3">
        <v>109</v>
      </c>
      <c r="S3499" s="2">
        <v>0</v>
      </c>
    </row>
    <row r="3500" spans="1:33" x14ac:dyDescent="0.2">
      <c r="M3500"/>
      <c r="N3500"/>
      <c r="O3500"/>
      <c r="P3500"/>
      <c r="Q3500"/>
    </row>
    <row r="3501" spans="1:33" x14ac:dyDescent="0.2">
      <c r="M3501"/>
      <c r="N3501"/>
      <c r="O3501"/>
      <c r="P3501"/>
      <c r="Q3501"/>
    </row>
    <row r="3502" spans="1:33" ht="16.5" x14ac:dyDescent="0.25">
      <c r="A3502" s="29" t="str">
        <f>CONCATENATE("Подраздел: ",IF([1]Source!G4036&lt;&gt;"Новый подраздел", [1]Source!G4036, ""))</f>
        <v>Подраздел: Подпорные стенки</v>
      </c>
      <c r="B3502" s="29"/>
      <c r="C3502" s="29"/>
      <c r="D3502" s="29"/>
      <c r="E3502" s="29"/>
      <c r="F3502" s="29"/>
      <c r="G3502" s="29"/>
      <c r="H3502" s="29"/>
      <c r="I3502" s="29"/>
      <c r="J3502" s="29"/>
      <c r="K3502" s="29"/>
      <c r="M3502"/>
      <c r="N3502"/>
      <c r="O3502"/>
      <c r="P3502"/>
      <c r="Q3502"/>
    </row>
    <row r="3503" spans="1:33" ht="42.75" x14ac:dyDescent="0.2">
      <c r="A3503" s="31">
        <v>443</v>
      </c>
      <c r="B3503" s="31" t="str">
        <f>[1]Source!F4040</f>
        <v>5.3-1101-5-1/1</v>
      </c>
      <c r="C3503" s="31" t="str">
        <f>[1]Source!G4040</f>
        <v>Промывка оград железобетонных от пыли и грязи водой под напором( промывка гранитных стен)( прим.)</v>
      </c>
      <c r="D3503" s="32" t="str">
        <f>[1]Source!H4040</f>
        <v>100 м2</v>
      </c>
      <c r="E3503" s="4">
        <f>[1]Source!I4040</f>
        <v>9.4209999999999994</v>
      </c>
      <c r="F3503" s="33"/>
      <c r="G3503" s="34"/>
      <c r="H3503" s="4"/>
      <c r="I3503" s="4"/>
      <c r="J3503" s="33"/>
      <c r="K3503" s="33"/>
      <c r="M3503"/>
      <c r="N3503"/>
      <c r="O3503"/>
      <c r="P3503"/>
      <c r="Q3503"/>
      <c r="AB3503">
        <f>ROUND(([1]Source!BZ4040/100)*ROUND(([1]Source!AF4040*[1]Source!AV4040)*[1]Source!I4040, 2), 2)</f>
        <v>6736.35</v>
      </c>
      <c r="AC3503">
        <f>[1]Source!X4040</f>
        <v>6736.35</v>
      </c>
      <c r="AD3503">
        <f>ROUND(([1]Source!CA4040/100)*ROUND(([1]Source!AF4040*[1]Source!AV4040)*[1]Source!I4040, 2), 2)</f>
        <v>962.34</v>
      </c>
      <c r="AE3503">
        <f>[1]Source!Y4040</f>
        <v>962.34</v>
      </c>
      <c r="AF3503">
        <f>ROUND((175/100)*ROUND(([1]Source!AE4040*[1]Source!AV4040)*[1]Source!I4040, 2), 2)</f>
        <v>40273.17</v>
      </c>
      <c r="AG3503">
        <f>ROUND((108/100)*ROUND([1]Source!CS4040*[1]Source!I4040, 2), 2)</f>
        <v>24854.3</v>
      </c>
    </row>
    <row r="3504" spans="1:33" x14ac:dyDescent="0.2">
      <c r="C3504" s="40" t="str">
        <f>"Объем: "&amp;[1]Source!I4040&amp;"=942,1/"&amp;"100"</f>
        <v>Объем: 9,421=942,1/100</v>
      </c>
      <c r="M3504"/>
      <c r="N3504"/>
      <c r="O3504"/>
      <c r="P3504"/>
      <c r="Q3504"/>
    </row>
    <row r="3505" spans="1:33" ht="14.25" x14ac:dyDescent="0.2">
      <c r="A3505" s="31"/>
      <c r="B3505" s="31"/>
      <c r="C3505" s="31" t="s">
        <v>34</v>
      </c>
      <c r="D3505" s="32"/>
      <c r="E3505" s="4"/>
      <c r="F3505" s="33">
        <f>[1]Source!AO4040</f>
        <v>255.37</v>
      </c>
      <c r="G3505" s="34" t="str">
        <f>[1]Source!DG4040</f>
        <v>)*1*4</v>
      </c>
      <c r="H3505" s="4">
        <f>[1]Source!AV4040</f>
        <v>1</v>
      </c>
      <c r="I3505" s="4">
        <f>IF([1]Source!BA4040&lt;&gt; 0, [1]Source!BA4040, 1)</f>
        <v>1</v>
      </c>
      <c r="J3505" s="33">
        <f>[1]Source!S4040</f>
        <v>9623.36</v>
      </c>
      <c r="K3505" s="33"/>
      <c r="M3505"/>
      <c r="N3505"/>
      <c r="O3505"/>
      <c r="P3505"/>
      <c r="Q3505"/>
    </row>
    <row r="3506" spans="1:33" ht="14.25" x14ac:dyDescent="0.2">
      <c r="A3506" s="31"/>
      <c r="B3506" s="31"/>
      <c r="C3506" s="31" t="s">
        <v>33</v>
      </c>
      <c r="D3506" s="32"/>
      <c r="E3506" s="4"/>
      <c r="F3506" s="33">
        <f>[1]Source!AM4040</f>
        <v>1655.86</v>
      </c>
      <c r="G3506" s="34" t="str">
        <f>[1]Source!DE4040</f>
        <v>)*1*4</v>
      </c>
      <c r="H3506" s="4">
        <f>[1]Source!AV4040</f>
        <v>1</v>
      </c>
      <c r="I3506" s="4">
        <f>IF([1]Source!BB4040&lt;&gt; 0, [1]Source!BB4040, 1)</f>
        <v>1</v>
      </c>
      <c r="J3506" s="33">
        <f>[1]Source!Q4040</f>
        <v>62399.43</v>
      </c>
      <c r="K3506" s="33"/>
      <c r="M3506"/>
      <c r="N3506"/>
      <c r="O3506"/>
      <c r="P3506"/>
      <c r="Q3506"/>
    </row>
    <row r="3507" spans="1:33" ht="14.25" x14ac:dyDescent="0.2">
      <c r="A3507" s="31"/>
      <c r="B3507" s="31"/>
      <c r="C3507" s="31" t="s">
        <v>37</v>
      </c>
      <c r="D3507" s="32"/>
      <c r="E3507" s="4"/>
      <c r="F3507" s="33">
        <f>[1]Source!AN4040</f>
        <v>610.69000000000005</v>
      </c>
      <c r="G3507" s="34" t="str">
        <f>[1]Source!DF4040</f>
        <v>)*1*4</v>
      </c>
      <c r="H3507" s="4">
        <f>[1]Source!AV4040</f>
        <v>1</v>
      </c>
      <c r="I3507" s="4">
        <f>IF([1]Source!BS4040&lt;&gt; 0, [1]Source!BS4040, 1)</f>
        <v>1</v>
      </c>
      <c r="J3507" s="41">
        <f>[1]Source!R4040</f>
        <v>23013.24</v>
      </c>
      <c r="K3507" s="33"/>
      <c r="M3507"/>
      <c r="N3507"/>
      <c r="O3507"/>
      <c r="P3507"/>
      <c r="Q3507"/>
    </row>
    <row r="3508" spans="1:33" ht="14.25" x14ac:dyDescent="0.2">
      <c r="A3508" s="31"/>
      <c r="B3508" s="31"/>
      <c r="C3508" s="31" t="s">
        <v>47</v>
      </c>
      <c r="D3508" s="32"/>
      <c r="E3508" s="4"/>
      <c r="F3508" s="33">
        <f>[1]Source!AL4040</f>
        <v>25.46</v>
      </c>
      <c r="G3508" s="34" t="str">
        <f>[1]Source!DD4040</f>
        <v>)*1*4</v>
      </c>
      <c r="H3508" s="4">
        <f>[1]Source!AW4040</f>
        <v>1</v>
      </c>
      <c r="I3508" s="4">
        <f>IF([1]Source!BC4040&lt;&gt; 0, [1]Source!BC4040, 1)</f>
        <v>1</v>
      </c>
      <c r="J3508" s="33">
        <f>[1]Source!P4040</f>
        <v>959.43</v>
      </c>
      <c r="K3508" s="33"/>
      <c r="M3508"/>
      <c r="N3508"/>
      <c r="O3508"/>
      <c r="P3508"/>
      <c r="Q3508"/>
    </row>
    <row r="3509" spans="1:33" ht="14.25" x14ac:dyDescent="0.2">
      <c r="A3509" s="31" t="s">
        <v>177</v>
      </c>
      <c r="B3509" s="31" t="str">
        <f>[1]Source!F4041</f>
        <v>21.1-25-13</v>
      </c>
      <c r="C3509" s="31" t="str">
        <f>[1]Source!G4041</f>
        <v>Вода</v>
      </c>
      <c r="D3509" s="32" t="str">
        <f>[1]Source!H4041</f>
        <v>м3</v>
      </c>
      <c r="E3509" s="4">
        <f>[1]Source!I4041</f>
        <v>-22.610399999999998</v>
      </c>
      <c r="F3509" s="33">
        <f>[1]Source!AK4041</f>
        <v>42.44</v>
      </c>
      <c r="G3509" s="39" t="s">
        <v>127</v>
      </c>
      <c r="H3509" s="4">
        <f>[1]Source!AW4041</f>
        <v>1</v>
      </c>
      <c r="I3509" s="4">
        <f>IF([1]Source!BC4041&lt;&gt; 0, [1]Source!BC4041, 1)</f>
        <v>1</v>
      </c>
      <c r="J3509" s="33">
        <f>[1]Source!O4041</f>
        <v>-959.59</v>
      </c>
      <c r="K3509" s="33"/>
      <c r="M3509"/>
      <c r="N3509"/>
      <c r="O3509"/>
      <c r="P3509"/>
      <c r="Q3509"/>
      <c r="AB3509">
        <f>ROUND(([1]Source!BZ4041/100)*ROUND(([1]Source!AF4041*[1]Source!AV4041)*[1]Source!I4041, 2), 2)</f>
        <v>0</v>
      </c>
      <c r="AC3509">
        <f>[1]Source!X4041</f>
        <v>0</v>
      </c>
      <c r="AD3509">
        <f>ROUND(([1]Source!CA4041/100)*ROUND(([1]Source!AF4041*[1]Source!AV4041)*[1]Source!I4041, 2), 2)</f>
        <v>0</v>
      </c>
      <c r="AE3509">
        <f>[1]Source!Y4041</f>
        <v>0</v>
      </c>
      <c r="AF3509">
        <f>ROUND((175/100)*ROUND(([1]Source!AE4041*[1]Source!AV4041)*[1]Source!I4041, 2), 2)</f>
        <v>0</v>
      </c>
      <c r="AG3509">
        <f>ROUND((108/100)*ROUND([1]Source!CS4041*[1]Source!I4041, 2), 2)</f>
        <v>0</v>
      </c>
    </row>
    <row r="3510" spans="1:33" ht="14.25" x14ac:dyDescent="0.2">
      <c r="A3510" s="31"/>
      <c r="B3510" s="31"/>
      <c r="C3510" s="31" t="s">
        <v>40</v>
      </c>
      <c r="D3510" s="32" t="s">
        <v>39</v>
      </c>
      <c r="E3510" s="4">
        <f>[1]Source!AT4040</f>
        <v>70</v>
      </c>
      <c r="F3510" s="33"/>
      <c r="G3510" s="34"/>
      <c r="H3510" s="4"/>
      <c r="I3510" s="4"/>
      <c r="J3510" s="33">
        <f>SUM(AC3503:AC3509)</f>
        <v>6736.35</v>
      </c>
      <c r="K3510" s="33"/>
      <c r="M3510"/>
      <c r="N3510"/>
      <c r="O3510"/>
      <c r="P3510"/>
      <c r="Q3510"/>
    </row>
    <row r="3511" spans="1:33" ht="14.25" x14ac:dyDescent="0.2">
      <c r="A3511" s="31"/>
      <c r="B3511" s="31"/>
      <c r="C3511" s="31" t="s">
        <v>41</v>
      </c>
      <c r="D3511" s="32" t="s">
        <v>39</v>
      </c>
      <c r="E3511" s="4">
        <f>[1]Source!AU4040</f>
        <v>10</v>
      </c>
      <c r="F3511" s="33"/>
      <c r="G3511" s="34"/>
      <c r="H3511" s="4"/>
      <c r="I3511" s="4"/>
      <c r="J3511" s="33">
        <f>SUM(AE3503:AE3510)</f>
        <v>962.34</v>
      </c>
      <c r="K3511" s="33"/>
      <c r="M3511"/>
      <c r="N3511"/>
      <c r="O3511"/>
      <c r="P3511"/>
      <c r="Q3511"/>
    </row>
    <row r="3512" spans="1:33" ht="14.25" x14ac:dyDescent="0.2">
      <c r="A3512" s="31"/>
      <c r="B3512" s="31"/>
      <c r="C3512" s="31" t="s">
        <v>38</v>
      </c>
      <c r="D3512" s="32" t="s">
        <v>39</v>
      </c>
      <c r="E3512" s="4">
        <f>108</f>
        <v>108</v>
      </c>
      <c r="F3512" s="33"/>
      <c r="G3512" s="34"/>
      <c r="H3512" s="4"/>
      <c r="I3512" s="4"/>
      <c r="J3512" s="33">
        <f>SUM(AG3503:AG3511)</f>
        <v>24854.3</v>
      </c>
      <c r="K3512" s="33"/>
      <c r="M3512"/>
      <c r="N3512"/>
      <c r="O3512"/>
      <c r="P3512"/>
      <c r="Q3512"/>
    </row>
    <row r="3513" spans="1:33" ht="14.25" x14ac:dyDescent="0.2">
      <c r="A3513" s="31"/>
      <c r="B3513" s="31"/>
      <c r="C3513" s="31" t="s">
        <v>42</v>
      </c>
      <c r="D3513" s="32" t="s">
        <v>43</v>
      </c>
      <c r="E3513" s="4">
        <f>[1]Source!AQ4040</f>
        <v>1.03</v>
      </c>
      <c r="F3513" s="33"/>
      <c r="G3513" s="34" t="str">
        <f>[1]Source!DI4040</f>
        <v>)*1*4</v>
      </c>
      <c r="H3513" s="4">
        <f>[1]Source!AV4040</f>
        <v>1</v>
      </c>
      <c r="I3513" s="4"/>
      <c r="J3513" s="33"/>
      <c r="K3513" s="33">
        <f>[1]Source!U4040</f>
        <v>38.814520000000002</v>
      </c>
      <c r="M3513"/>
      <c r="N3513"/>
      <c r="O3513"/>
      <c r="P3513"/>
      <c r="Q3513"/>
    </row>
    <row r="3514" spans="1:33" ht="15" x14ac:dyDescent="0.25">
      <c r="A3514" s="35"/>
      <c r="B3514" s="35"/>
      <c r="C3514" s="35"/>
      <c r="D3514" s="35"/>
      <c r="E3514" s="35"/>
      <c r="F3514" s="35"/>
      <c r="G3514" s="35"/>
      <c r="H3514" s="35"/>
      <c r="I3514" s="36">
        <f>J3505+J3506+J3508+J3510+J3511+J3512+SUM(J3509:J3509)</f>
        <v>104575.62000000001</v>
      </c>
      <c r="J3514" s="36"/>
      <c r="K3514" s="37">
        <f>IF([1]Source!I4040&lt;&gt;0, ROUND(I3514/[1]Source!I4040, 2), 0)</f>
        <v>11100.27</v>
      </c>
      <c r="M3514"/>
      <c r="N3514"/>
      <c r="O3514"/>
      <c r="P3514"/>
      <c r="Q3514"/>
      <c r="AA3514" s="38">
        <f>I3514</f>
        <v>104575.62000000001</v>
      </c>
    </row>
    <row r="3515" spans="1:33" ht="42.75" x14ac:dyDescent="0.2">
      <c r="A3515" s="31">
        <v>444</v>
      </c>
      <c r="B3515" s="31" t="str">
        <f>[1]Source!F4042</f>
        <v>5.3-1101-7-1/1</v>
      </c>
      <c r="C3515" s="31" t="str">
        <f>[1]Source!G4042</f>
        <v>Протирка оград железобетонных от пыли и грязи( протирка подпорных стен)(прим.)</v>
      </c>
      <c r="D3515" s="32" t="str">
        <f>[1]Source!H4042</f>
        <v>100 м2</v>
      </c>
      <c r="E3515" s="4">
        <f>[1]Source!I4042</f>
        <v>9.4209999999999994</v>
      </c>
      <c r="F3515" s="33"/>
      <c r="G3515" s="34"/>
      <c r="H3515" s="4"/>
      <c r="I3515" s="4"/>
      <c r="J3515" s="33"/>
      <c r="K3515" s="33"/>
      <c r="M3515"/>
      <c r="N3515"/>
      <c r="O3515"/>
      <c r="P3515"/>
      <c r="Q3515"/>
      <c r="AB3515">
        <f>ROUND(([1]Source!BZ4042/100)*ROUND(([1]Source!AF4042*[1]Source!AV4042)*[1]Source!I4042, 2), 2)</f>
        <v>118539.07</v>
      </c>
      <c r="AC3515">
        <f>[1]Source!X4042</f>
        <v>118539.07</v>
      </c>
      <c r="AD3515">
        <f>ROUND(([1]Source!CA4042/100)*ROUND(([1]Source!AF4042*[1]Source!AV4042)*[1]Source!I4042, 2), 2)</f>
        <v>16934.150000000001</v>
      </c>
      <c r="AE3515">
        <f>[1]Source!Y4042</f>
        <v>16934.150000000001</v>
      </c>
      <c r="AF3515">
        <f>ROUND((175/100)*ROUND(([1]Source!AE4042*[1]Source!AV4042)*[1]Source!I4042, 2), 2)</f>
        <v>0</v>
      </c>
      <c r="AG3515">
        <f>ROUND((108/100)*ROUND([1]Source!CS4042*[1]Source!I4042, 2), 2)</f>
        <v>0</v>
      </c>
    </row>
    <row r="3516" spans="1:33" x14ac:dyDescent="0.2">
      <c r="C3516" s="40" t="str">
        <f>"Объем: "&amp;[1]Source!I4042&amp;"=942,1/"&amp;"100"</f>
        <v>Объем: 9,421=942,1/100</v>
      </c>
      <c r="M3516"/>
      <c r="N3516"/>
      <c r="O3516"/>
      <c r="P3516"/>
      <c r="Q3516"/>
    </row>
    <row r="3517" spans="1:33" ht="14.25" x14ac:dyDescent="0.2">
      <c r="A3517" s="31"/>
      <c r="B3517" s="31"/>
      <c r="C3517" s="31" t="s">
        <v>34</v>
      </c>
      <c r="D3517" s="32"/>
      <c r="E3517" s="4"/>
      <c r="F3517" s="33">
        <f>[1]Source!AO4042</f>
        <v>1797.49</v>
      </c>
      <c r="G3517" s="34" t="str">
        <f>[1]Source!DG4042</f>
        <v>)*1*10</v>
      </c>
      <c r="H3517" s="4">
        <f>[1]Source!AV4042</f>
        <v>1</v>
      </c>
      <c r="I3517" s="4">
        <f>IF([1]Source!BA4042&lt;&gt; 0, [1]Source!BA4042, 1)</f>
        <v>1</v>
      </c>
      <c r="J3517" s="33">
        <f>[1]Source!S4042</f>
        <v>169341.53</v>
      </c>
      <c r="K3517" s="33"/>
      <c r="M3517"/>
      <c r="N3517"/>
      <c r="O3517"/>
      <c r="P3517"/>
      <c r="Q3517"/>
    </row>
    <row r="3518" spans="1:33" ht="14.25" x14ac:dyDescent="0.2">
      <c r="A3518" s="31"/>
      <c r="B3518" s="31"/>
      <c r="C3518" s="31" t="s">
        <v>47</v>
      </c>
      <c r="D3518" s="32"/>
      <c r="E3518" s="4"/>
      <c r="F3518" s="33">
        <f>[1]Source!AL4042</f>
        <v>5.42</v>
      </c>
      <c r="G3518" s="34" t="str">
        <f>[1]Source!DD4042</f>
        <v>)*1*10</v>
      </c>
      <c r="H3518" s="4">
        <f>[1]Source!AW4042</f>
        <v>1</v>
      </c>
      <c r="I3518" s="4">
        <f>IF([1]Source!BC4042&lt;&gt; 0, [1]Source!BC4042, 1)</f>
        <v>1</v>
      </c>
      <c r="J3518" s="33">
        <f>[1]Source!P4042</f>
        <v>510.62</v>
      </c>
      <c r="K3518" s="33"/>
      <c r="M3518"/>
      <c r="N3518"/>
      <c r="O3518"/>
      <c r="P3518"/>
      <c r="Q3518"/>
    </row>
    <row r="3519" spans="1:33" ht="14.25" x14ac:dyDescent="0.2">
      <c r="A3519" s="31" t="s">
        <v>178</v>
      </c>
      <c r="B3519" s="31" t="str">
        <f>[1]Source!F4043</f>
        <v>21.1-25-13</v>
      </c>
      <c r="C3519" s="31" t="str">
        <f>[1]Source!G4043</f>
        <v>Вода</v>
      </c>
      <c r="D3519" s="32" t="str">
        <f>[1]Source!H4043</f>
        <v>м3</v>
      </c>
      <c r="E3519" s="4">
        <f>[1]Source!I4043</f>
        <v>-1.8841999999999999</v>
      </c>
      <c r="F3519" s="33">
        <f>[1]Source!AK4043</f>
        <v>42.44</v>
      </c>
      <c r="G3519" s="39" t="s">
        <v>158</v>
      </c>
      <c r="H3519" s="4">
        <f>[1]Source!AW4043</f>
        <v>1</v>
      </c>
      <c r="I3519" s="4">
        <f>IF([1]Source!BC4043&lt;&gt; 0, [1]Source!BC4043, 1)</f>
        <v>1</v>
      </c>
      <c r="J3519" s="33">
        <f>[1]Source!O4043</f>
        <v>-79.97</v>
      </c>
      <c r="K3519" s="33"/>
      <c r="M3519"/>
      <c r="N3519"/>
      <c r="O3519"/>
      <c r="P3519"/>
      <c r="Q3519"/>
      <c r="AB3519">
        <f>ROUND(([1]Source!BZ4043/100)*ROUND(([1]Source!AF4043*[1]Source!AV4043)*[1]Source!I4043, 2), 2)</f>
        <v>0</v>
      </c>
      <c r="AC3519">
        <f>[1]Source!X4043</f>
        <v>0</v>
      </c>
      <c r="AD3519">
        <f>ROUND(([1]Source!CA4043/100)*ROUND(([1]Source!AF4043*[1]Source!AV4043)*[1]Source!I4043, 2), 2)</f>
        <v>0</v>
      </c>
      <c r="AE3519">
        <f>[1]Source!Y4043</f>
        <v>0</v>
      </c>
      <c r="AF3519">
        <f>ROUND((175/100)*ROUND(([1]Source!AE4043*[1]Source!AV4043)*[1]Source!I4043, 2), 2)</f>
        <v>0</v>
      </c>
      <c r="AG3519">
        <f>ROUND((108/100)*ROUND([1]Source!CS4043*[1]Source!I4043, 2), 2)</f>
        <v>0</v>
      </c>
    </row>
    <row r="3520" spans="1:33" ht="14.25" x14ac:dyDescent="0.2">
      <c r="A3520" s="31"/>
      <c r="B3520" s="31"/>
      <c r="C3520" s="31" t="s">
        <v>40</v>
      </c>
      <c r="D3520" s="32" t="s">
        <v>39</v>
      </c>
      <c r="E3520" s="4">
        <f>[1]Source!AT4042</f>
        <v>70</v>
      </c>
      <c r="F3520" s="33"/>
      <c r="G3520" s="34"/>
      <c r="H3520" s="4"/>
      <c r="I3520" s="4"/>
      <c r="J3520" s="33">
        <f>SUM(AC3515:AC3519)</f>
        <v>118539.07</v>
      </c>
      <c r="K3520" s="33"/>
      <c r="M3520"/>
      <c r="N3520"/>
      <c r="O3520"/>
      <c r="P3520"/>
      <c r="Q3520"/>
    </row>
    <row r="3521" spans="1:33" ht="14.25" x14ac:dyDescent="0.2">
      <c r="A3521" s="31"/>
      <c r="B3521" s="31"/>
      <c r="C3521" s="31" t="s">
        <v>41</v>
      </c>
      <c r="D3521" s="32" t="s">
        <v>39</v>
      </c>
      <c r="E3521" s="4">
        <f>[1]Source!AU4042</f>
        <v>10</v>
      </c>
      <c r="F3521" s="33"/>
      <c r="G3521" s="34"/>
      <c r="H3521" s="4"/>
      <c r="I3521" s="4"/>
      <c r="J3521" s="33">
        <f>SUM(AE3515:AE3520)</f>
        <v>16934.150000000001</v>
      </c>
      <c r="K3521" s="33"/>
      <c r="M3521"/>
      <c r="N3521"/>
      <c r="O3521"/>
      <c r="P3521"/>
      <c r="Q3521"/>
    </row>
    <row r="3522" spans="1:33" ht="14.25" x14ac:dyDescent="0.2">
      <c r="A3522" s="31"/>
      <c r="B3522" s="31"/>
      <c r="C3522" s="31" t="s">
        <v>42</v>
      </c>
      <c r="D3522" s="32" t="s">
        <v>43</v>
      </c>
      <c r="E3522" s="4">
        <f>[1]Source!AQ4042</f>
        <v>7.25</v>
      </c>
      <c r="F3522" s="33"/>
      <c r="G3522" s="34" t="str">
        <f>[1]Source!DI4042</f>
        <v>)*1*10</v>
      </c>
      <c r="H3522" s="4">
        <f>[1]Source!AV4042</f>
        <v>1</v>
      </c>
      <c r="I3522" s="4"/>
      <c r="J3522" s="33"/>
      <c r="K3522" s="33">
        <f>[1]Source!U4042</f>
        <v>683.02249999999992</v>
      </c>
      <c r="M3522"/>
      <c r="N3522"/>
      <c r="O3522"/>
      <c r="P3522"/>
      <c r="Q3522"/>
    </row>
    <row r="3523" spans="1:33" ht="15" x14ac:dyDescent="0.25">
      <c r="A3523" s="35"/>
      <c r="B3523" s="35"/>
      <c r="C3523" s="35"/>
      <c r="D3523" s="35"/>
      <c r="E3523" s="35"/>
      <c r="F3523" s="35"/>
      <c r="G3523" s="35"/>
      <c r="H3523" s="35"/>
      <c r="I3523" s="36">
        <f>J3517+J3518+J3520+J3521+SUM(J3519:J3519)</f>
        <v>305245.40000000002</v>
      </c>
      <c r="J3523" s="36"/>
      <c r="K3523" s="37">
        <f>IF([1]Source!I4042&lt;&gt;0, ROUND(I3523/[1]Source!I4042, 2), 0)</f>
        <v>32400.53</v>
      </c>
      <c r="M3523"/>
      <c r="N3523"/>
      <c r="O3523"/>
      <c r="P3523"/>
      <c r="Q3523"/>
      <c r="AA3523" s="38">
        <f>I3523</f>
        <v>305245.40000000002</v>
      </c>
    </row>
    <row r="3524" spans="1:33" x14ac:dyDescent="0.2">
      <c r="M3524"/>
      <c r="N3524"/>
      <c r="O3524"/>
      <c r="P3524"/>
      <c r="Q3524"/>
    </row>
    <row r="3525" spans="1:33" ht="15" x14ac:dyDescent="0.25">
      <c r="A3525" s="42" t="str">
        <f>CONCATENATE("Итого по подразделу: ",IF([1]Source!G4045&lt;&gt;"Новый подраздел", [1]Source!G4045, ""))</f>
        <v>Итого по подразделу: Подпорные стенки</v>
      </c>
      <c r="B3525" s="42"/>
      <c r="C3525" s="42"/>
      <c r="D3525" s="42"/>
      <c r="E3525" s="42"/>
      <c r="F3525" s="42"/>
      <c r="G3525" s="42"/>
      <c r="H3525" s="42"/>
      <c r="I3525" s="43">
        <f>SUM(AA3502:AA3524)</f>
        <v>409821.02</v>
      </c>
      <c r="J3525" s="44"/>
      <c r="K3525" s="47"/>
      <c r="L3525" s="38">
        <f>I3525</f>
        <v>409821.02</v>
      </c>
      <c r="M3525" s="2">
        <f>ROUND(I3525*$I$4874,2)</f>
        <v>295975.55</v>
      </c>
      <c r="N3525" s="2">
        <f>ROUND(M3525*1.2/105*100,2)</f>
        <v>338257.77</v>
      </c>
      <c r="O3525" s="2">
        <f>ROUND(N3525*0.05,2)</f>
        <v>16912.89</v>
      </c>
      <c r="P3525" s="2">
        <f>N3525+O3525</f>
        <v>355170.66000000003</v>
      </c>
      <c r="Q3525" s="3">
        <v>110</v>
      </c>
      <c r="S3525" s="2">
        <v>0</v>
      </c>
    </row>
    <row r="3526" spans="1:33" x14ac:dyDescent="0.2">
      <c r="M3526"/>
      <c r="N3526"/>
      <c r="O3526"/>
      <c r="P3526"/>
      <c r="Q3526"/>
    </row>
    <row r="3527" spans="1:33" x14ac:dyDescent="0.2">
      <c r="M3527"/>
      <c r="N3527"/>
      <c r="O3527"/>
      <c r="P3527"/>
      <c r="Q3527"/>
    </row>
    <row r="3528" spans="1:33" ht="16.5" x14ac:dyDescent="0.25">
      <c r="A3528" s="29" t="str">
        <f>CONCATENATE("Подраздел: ",IF([1]Source!G4075&lt;&gt;"Новый подраздел", [1]Source!G4075, ""))</f>
        <v>Подраздел: Уход за бортовыми камнями</v>
      </c>
      <c r="B3528" s="29"/>
      <c r="C3528" s="29"/>
      <c r="D3528" s="29"/>
      <c r="E3528" s="29"/>
      <c r="F3528" s="29"/>
      <c r="G3528" s="29"/>
      <c r="H3528" s="29"/>
      <c r="I3528" s="29"/>
      <c r="J3528" s="29"/>
      <c r="K3528" s="29"/>
      <c r="M3528"/>
      <c r="N3528"/>
      <c r="O3528"/>
      <c r="P3528"/>
      <c r="Q3528"/>
    </row>
    <row r="3529" spans="1:33" ht="42.75" x14ac:dyDescent="0.2">
      <c r="A3529" s="31">
        <v>445</v>
      </c>
      <c r="B3529" s="31" t="str">
        <f>[1]Source!F4079</f>
        <v>5.3-1101-13-1/1</v>
      </c>
      <c r="C3529" s="31" t="str">
        <f>[1]Source!G4079</f>
        <v>Подметание вручную дорожек и площадок с твердым покрытием ( очистка бортовых камней )</v>
      </c>
      <c r="D3529" s="32" t="str">
        <f>[1]Source!H4079</f>
        <v>100 м2</v>
      </c>
      <c r="E3529" s="4">
        <f>[1]Source!I4079</f>
        <v>1.1172</v>
      </c>
      <c r="F3529" s="33"/>
      <c r="G3529" s="34"/>
      <c r="H3529" s="4"/>
      <c r="I3529" s="4"/>
      <c r="J3529" s="33"/>
      <c r="K3529" s="33"/>
      <c r="M3529"/>
      <c r="N3529"/>
      <c r="O3529"/>
      <c r="P3529"/>
      <c r="Q3529"/>
      <c r="AB3529">
        <f>ROUND(([1]Source!BZ4079/100)*ROUND(([1]Source!AF4079*[1]Source!AV4079)*[1]Source!I4079, 2), 2)</f>
        <v>21607.11</v>
      </c>
      <c r="AC3529">
        <f>[1]Source!X4079</f>
        <v>21607.11</v>
      </c>
      <c r="AD3529">
        <f>ROUND(([1]Source!CA4079/100)*ROUND(([1]Source!AF4079*[1]Source!AV4079)*[1]Source!I4079, 2), 2)</f>
        <v>3086.73</v>
      </c>
      <c r="AE3529">
        <f>[1]Source!Y4079</f>
        <v>3086.73</v>
      </c>
      <c r="AF3529">
        <f>ROUND((175/100)*ROUND(([1]Source!AE4079*[1]Source!AV4079)*[1]Source!I4079, 2), 2)</f>
        <v>0</v>
      </c>
      <c r="AG3529">
        <f>ROUND((108/100)*ROUND([1]Source!CS4079*[1]Source!I4079, 2), 2)</f>
        <v>0</v>
      </c>
    </row>
    <row r="3530" spans="1:33" x14ac:dyDescent="0.2">
      <c r="C3530" s="40" t="str">
        <f>"Объем: "&amp;[1]Source!I4079&amp;"=111,72/"&amp;"100"</f>
        <v>Объем: 1,1172=111,72/100</v>
      </c>
      <c r="M3530"/>
      <c r="N3530"/>
      <c r="O3530"/>
      <c r="P3530"/>
      <c r="Q3530"/>
    </row>
    <row r="3531" spans="1:33" ht="14.25" x14ac:dyDescent="0.2">
      <c r="A3531" s="31"/>
      <c r="B3531" s="31"/>
      <c r="C3531" s="31" t="s">
        <v>34</v>
      </c>
      <c r="D3531" s="32"/>
      <c r="E3531" s="4"/>
      <c r="F3531" s="33">
        <f>[1]Source!AO4079</f>
        <v>34.71</v>
      </c>
      <c r="G3531" s="34" t="str">
        <f>[1]Source!DG4079</f>
        <v>)*2*398</v>
      </c>
      <c r="H3531" s="4">
        <f>[1]Source!AV4079</f>
        <v>1</v>
      </c>
      <c r="I3531" s="4">
        <f>IF([1]Source!BA4079&lt;&gt; 0, [1]Source!BA4079, 1)</f>
        <v>1</v>
      </c>
      <c r="J3531" s="33">
        <f>[1]Source!S4079</f>
        <v>30867.3</v>
      </c>
      <c r="K3531" s="33"/>
      <c r="M3531"/>
      <c r="N3531"/>
      <c r="O3531"/>
      <c r="P3531"/>
      <c r="Q3531"/>
    </row>
    <row r="3532" spans="1:33" ht="14.25" x14ac:dyDescent="0.2">
      <c r="A3532" s="31"/>
      <c r="B3532" s="31"/>
      <c r="C3532" s="31" t="s">
        <v>40</v>
      </c>
      <c r="D3532" s="32" t="s">
        <v>39</v>
      </c>
      <c r="E3532" s="4">
        <f>[1]Source!AT4079</f>
        <v>70</v>
      </c>
      <c r="F3532" s="33"/>
      <c r="G3532" s="34"/>
      <c r="H3532" s="4"/>
      <c r="I3532" s="4"/>
      <c r="J3532" s="33">
        <f>SUM(AC3529:AC3531)</f>
        <v>21607.11</v>
      </c>
      <c r="K3532" s="33"/>
      <c r="M3532"/>
      <c r="N3532"/>
      <c r="O3532"/>
      <c r="P3532"/>
      <c r="Q3532"/>
    </row>
    <row r="3533" spans="1:33" ht="14.25" x14ac:dyDescent="0.2">
      <c r="A3533" s="31"/>
      <c r="B3533" s="31"/>
      <c r="C3533" s="31" t="s">
        <v>41</v>
      </c>
      <c r="D3533" s="32" t="s">
        <v>39</v>
      </c>
      <c r="E3533" s="4">
        <f>[1]Source!AU4079</f>
        <v>10</v>
      </c>
      <c r="F3533" s="33"/>
      <c r="G3533" s="34"/>
      <c r="H3533" s="4"/>
      <c r="I3533" s="4"/>
      <c r="J3533" s="33">
        <f>SUM(AE3529:AE3532)</f>
        <v>3086.73</v>
      </c>
      <c r="K3533" s="33"/>
      <c r="M3533"/>
      <c r="N3533"/>
      <c r="O3533"/>
      <c r="P3533"/>
      <c r="Q3533"/>
    </row>
    <row r="3534" spans="1:33" ht="14.25" x14ac:dyDescent="0.2">
      <c r="A3534" s="31"/>
      <c r="B3534" s="31"/>
      <c r="C3534" s="31" t="s">
        <v>42</v>
      </c>
      <c r="D3534" s="32" t="s">
        <v>43</v>
      </c>
      <c r="E3534" s="4">
        <f>[1]Source!AQ4079</f>
        <v>0.14000000000000001</v>
      </c>
      <c r="F3534" s="33"/>
      <c r="G3534" s="34" t="str">
        <f>[1]Source!DI4079</f>
        <v>)*2*398</v>
      </c>
      <c r="H3534" s="4">
        <f>[1]Source!AV4079</f>
        <v>1</v>
      </c>
      <c r="I3534" s="4"/>
      <c r="J3534" s="33"/>
      <c r="K3534" s="33">
        <f>[1]Source!U4079</f>
        <v>124.50076800000001</v>
      </c>
      <c r="M3534"/>
      <c r="N3534"/>
      <c r="O3534"/>
      <c r="P3534"/>
      <c r="Q3534"/>
    </row>
    <row r="3535" spans="1:33" ht="15" x14ac:dyDescent="0.25">
      <c r="A3535" s="35"/>
      <c r="B3535" s="35"/>
      <c r="C3535" s="35"/>
      <c r="D3535" s="35"/>
      <c r="E3535" s="35"/>
      <c r="F3535" s="35"/>
      <c r="G3535" s="35"/>
      <c r="H3535" s="35"/>
      <c r="I3535" s="36">
        <f>J3531+J3532+J3533</f>
        <v>55561.140000000007</v>
      </c>
      <c r="J3535" s="36"/>
      <c r="K3535" s="37">
        <f>IF([1]Source!I4079&lt;&gt;0, ROUND(I3535/[1]Source!I4079, 2), 0)</f>
        <v>49732.49</v>
      </c>
      <c r="M3535"/>
      <c r="N3535"/>
      <c r="O3535"/>
      <c r="P3535"/>
      <c r="Q3535"/>
      <c r="AA3535" s="38">
        <f>I3535</f>
        <v>55561.140000000007</v>
      </c>
    </row>
    <row r="3536" spans="1:33" x14ac:dyDescent="0.2">
      <c r="M3536"/>
      <c r="N3536"/>
      <c r="O3536"/>
      <c r="P3536"/>
      <c r="Q3536"/>
    </row>
    <row r="3537" spans="1:33" ht="15" x14ac:dyDescent="0.25">
      <c r="A3537" s="42" t="str">
        <f>CONCATENATE("Итого по подразделу: ",IF([1]Source!G4081&lt;&gt;"Новый подраздел", [1]Source!G4081, ""))</f>
        <v>Итого по подразделу: Уход за бортовыми камнями</v>
      </c>
      <c r="B3537" s="42"/>
      <c r="C3537" s="42"/>
      <c r="D3537" s="42"/>
      <c r="E3537" s="42"/>
      <c r="F3537" s="42"/>
      <c r="G3537" s="42"/>
      <c r="H3537" s="42"/>
      <c r="I3537" s="43">
        <f>SUM(AA3528:AA3536)</f>
        <v>55561.140000000007</v>
      </c>
      <c r="J3537" s="44"/>
      <c r="K3537" s="47"/>
      <c r="L3537" s="38">
        <f>I3537</f>
        <v>55561.140000000007</v>
      </c>
      <c r="M3537" s="2">
        <f>ROUND(I3537*$I$4874,2)</f>
        <v>40126.639999999999</v>
      </c>
      <c r="N3537" s="2">
        <f>ROUND(M3537*1.2/105*100,2)</f>
        <v>45859.02</v>
      </c>
      <c r="O3537" s="2">
        <f>ROUND(N3537*0.05,2)</f>
        <v>2292.9499999999998</v>
      </c>
      <c r="P3537" s="2">
        <f>N3537+O3537</f>
        <v>48151.969999999994</v>
      </c>
      <c r="Q3537" s="3">
        <v>114</v>
      </c>
      <c r="S3537" s="2">
        <v>0</v>
      </c>
    </row>
    <row r="3538" spans="1:33" x14ac:dyDescent="0.2">
      <c r="M3538"/>
      <c r="N3538"/>
      <c r="O3538"/>
      <c r="P3538"/>
      <c r="Q3538"/>
    </row>
    <row r="3539" spans="1:33" x14ac:dyDescent="0.2">
      <c r="M3539"/>
      <c r="N3539"/>
      <c r="O3539"/>
      <c r="P3539"/>
      <c r="Q3539"/>
    </row>
    <row r="3540" spans="1:33" ht="15" x14ac:dyDescent="0.25">
      <c r="A3540" s="42" t="str">
        <f>CONCATENATE("Итого по разделу: ",IF([1]Source!G4111&lt;&gt;"Новый раздел", [1]Source!G4111, ""))</f>
        <v>Итого по разделу: "Патриаршее подворье" (S=4987,1 м2 )</v>
      </c>
      <c r="B3540" s="42"/>
      <c r="C3540" s="42"/>
      <c r="D3540" s="42"/>
      <c r="E3540" s="42"/>
      <c r="F3540" s="42"/>
      <c r="G3540" s="42"/>
      <c r="H3540" s="42"/>
      <c r="I3540" s="43">
        <f>SUM(AA3401:AA3539)</f>
        <v>4882673.1800000006</v>
      </c>
      <c r="J3540" s="44"/>
      <c r="K3540" s="47"/>
      <c r="L3540" s="38">
        <f>I3540</f>
        <v>4882673.1800000006</v>
      </c>
      <c r="M3540" s="2">
        <f>M3443+M3466+M3487+M3499+M3525+M3537</f>
        <v>3526300.0000000005</v>
      </c>
      <c r="N3540" s="2">
        <f>N3443+N3466+N3487+N3499+N3525+N3537</f>
        <v>4030057.14</v>
      </c>
      <c r="O3540" s="2">
        <f>ROUND(N3540*0.05,2)</f>
        <v>201502.86</v>
      </c>
      <c r="P3540" s="2">
        <f>SUM(P3443:P3537)</f>
        <v>4231559.99</v>
      </c>
      <c r="Q3540" s="48"/>
      <c r="R3540">
        <v>2</v>
      </c>
    </row>
    <row r="3541" spans="1:33" x14ac:dyDescent="0.2">
      <c r="M3541"/>
      <c r="N3541"/>
      <c r="O3541"/>
      <c r="P3541"/>
      <c r="Q3541"/>
    </row>
    <row r="3542" spans="1:33" x14ac:dyDescent="0.2">
      <c r="M3542"/>
      <c r="N3542"/>
      <c r="O3542"/>
      <c r="P3542"/>
      <c r="Q3542"/>
    </row>
    <row r="3543" spans="1:33" ht="16.5" x14ac:dyDescent="0.25">
      <c r="A3543" s="29" t="str">
        <f>CONCATENATE("Раздел: ",IF([1]Source!G4141&lt;&gt;"Новый раздел", [1]Source!G4141, ""))</f>
        <v>Раздел: Содержание покрытий тротуара " Храма зачатия праведной Анны".( S= 1262,2 м2 ).</v>
      </c>
      <c r="B3543" s="29"/>
      <c r="C3543" s="29"/>
      <c r="D3543" s="29"/>
      <c r="E3543" s="29"/>
      <c r="F3543" s="29"/>
      <c r="G3543" s="29"/>
      <c r="H3543" s="29"/>
      <c r="I3543" s="29"/>
      <c r="J3543" s="29"/>
      <c r="K3543" s="29"/>
      <c r="M3543"/>
      <c r="N3543"/>
      <c r="O3543"/>
      <c r="P3543"/>
      <c r="Q3543"/>
    </row>
    <row r="3544" spans="1:33" x14ac:dyDescent="0.2">
      <c r="M3544"/>
      <c r="N3544"/>
      <c r="O3544"/>
      <c r="P3544"/>
      <c r="Q3544"/>
    </row>
    <row r="3545" spans="1:33" ht="16.5" x14ac:dyDescent="0.25">
      <c r="A3545" s="29" t="str">
        <f>CONCATENATE("Подраздел: ",IF([1]Source!G4145&lt;&gt;"Новый подраздел", [1]Source!G4145, ""))</f>
        <v>Подраздел: Содержание покрытий( S=1262,2 м2)</v>
      </c>
      <c r="B3545" s="29"/>
      <c r="C3545" s="29"/>
      <c r="D3545" s="29"/>
      <c r="E3545" s="29"/>
      <c r="F3545" s="29"/>
      <c r="G3545" s="29"/>
      <c r="H3545" s="29"/>
      <c r="I3545" s="29"/>
      <c r="J3545" s="29"/>
      <c r="K3545" s="29"/>
      <c r="M3545"/>
      <c r="N3545"/>
      <c r="O3545"/>
      <c r="P3545"/>
      <c r="Q3545"/>
    </row>
    <row r="3546" spans="1:33" ht="28.5" x14ac:dyDescent="0.2">
      <c r="A3546" s="31">
        <v>446</v>
      </c>
      <c r="B3546" s="31" t="str">
        <f>[1]Source!F4149</f>
        <v>5.3-1101-13-1/1</v>
      </c>
      <c r="C3546" s="31" t="str">
        <f>[1]Source!G4149</f>
        <v>Подметание вручную дорожек и площадок с твердым покрытием</v>
      </c>
      <c r="D3546" s="32" t="str">
        <f>[1]Source!H4149</f>
        <v>100 м2</v>
      </c>
      <c r="E3546" s="4">
        <f>[1]Source!I4149</f>
        <v>12.622</v>
      </c>
      <c r="F3546" s="33"/>
      <c r="G3546" s="34"/>
      <c r="H3546" s="4"/>
      <c r="I3546" s="4"/>
      <c r="J3546" s="33"/>
      <c r="K3546" s="33"/>
      <c r="M3546"/>
      <c r="N3546"/>
      <c r="O3546"/>
      <c r="P3546"/>
      <c r="Q3546"/>
      <c r="AB3546">
        <f>ROUND(([1]Source!BZ4149/100)*ROUND(([1]Source!AF4149*[1]Source!AV4149)*[1]Source!I4149, 2), 2)</f>
        <v>366172.02</v>
      </c>
      <c r="AC3546">
        <f>[1]Source!X4149</f>
        <v>366172.02</v>
      </c>
      <c r="AD3546">
        <f>ROUND(([1]Source!CA4149/100)*ROUND(([1]Source!AF4149*[1]Source!AV4149)*[1]Source!I4149, 2), 2)</f>
        <v>52310.29</v>
      </c>
      <c r="AE3546">
        <f>[1]Source!Y4149</f>
        <v>52310.29</v>
      </c>
      <c r="AF3546">
        <f>ROUND((175/100)*ROUND(([1]Source!AE4149*[1]Source!AV4149)*[1]Source!I4149, 2), 2)</f>
        <v>0</v>
      </c>
      <c r="AG3546">
        <f>ROUND((108/100)*ROUND([1]Source!CS4149*[1]Source!I4149, 2), 2)</f>
        <v>0</v>
      </c>
    </row>
    <row r="3547" spans="1:33" x14ac:dyDescent="0.2">
      <c r="C3547" s="40" t="str">
        <f>"Объем: "&amp;[1]Source!I4149&amp;"=1262,2/"&amp;"100"</f>
        <v>Объем: 12,622=1262,2/100</v>
      </c>
      <c r="M3547"/>
      <c r="N3547"/>
      <c r="O3547"/>
      <c r="P3547"/>
      <c r="Q3547"/>
    </row>
    <row r="3548" spans="1:33" ht="14.25" x14ac:dyDescent="0.2">
      <c r="A3548" s="31"/>
      <c r="B3548" s="31"/>
      <c r="C3548" s="31" t="s">
        <v>34</v>
      </c>
      <c r="D3548" s="32"/>
      <c r="E3548" s="4"/>
      <c r="F3548" s="33">
        <f>[1]Source!AO4149</f>
        <v>34.71</v>
      </c>
      <c r="G3548" s="34" t="str">
        <f>[1]Source!DG4149</f>
        <v>)*3*398</v>
      </c>
      <c r="H3548" s="4">
        <f>[1]Source!AV4149</f>
        <v>1</v>
      </c>
      <c r="I3548" s="4">
        <f>IF([1]Source!BA4149&lt;&gt; 0, [1]Source!BA4149, 1)</f>
        <v>1</v>
      </c>
      <c r="J3548" s="33">
        <f>[1]Source!S4149</f>
        <v>523102.89</v>
      </c>
      <c r="K3548" s="33"/>
      <c r="M3548"/>
      <c r="N3548"/>
      <c r="O3548"/>
      <c r="P3548"/>
      <c r="Q3548"/>
    </row>
    <row r="3549" spans="1:33" ht="14.25" x14ac:dyDescent="0.2">
      <c r="A3549" s="31"/>
      <c r="B3549" s="31"/>
      <c r="C3549" s="31" t="s">
        <v>40</v>
      </c>
      <c r="D3549" s="32" t="s">
        <v>39</v>
      </c>
      <c r="E3549" s="4">
        <f>[1]Source!AT4149</f>
        <v>70</v>
      </c>
      <c r="F3549" s="33"/>
      <c r="G3549" s="34"/>
      <c r="H3549" s="4"/>
      <c r="I3549" s="4"/>
      <c r="J3549" s="33">
        <f>SUM(AC3546:AC3548)</f>
        <v>366172.02</v>
      </c>
      <c r="K3549" s="33"/>
      <c r="M3549"/>
      <c r="N3549"/>
      <c r="O3549"/>
      <c r="P3549"/>
      <c r="Q3549"/>
    </row>
    <row r="3550" spans="1:33" ht="14.25" x14ac:dyDescent="0.2">
      <c r="A3550" s="31"/>
      <c r="B3550" s="31"/>
      <c r="C3550" s="31" t="s">
        <v>41</v>
      </c>
      <c r="D3550" s="32" t="s">
        <v>39</v>
      </c>
      <c r="E3550" s="4">
        <f>[1]Source!AU4149</f>
        <v>10</v>
      </c>
      <c r="F3550" s="33"/>
      <c r="G3550" s="34"/>
      <c r="H3550" s="4"/>
      <c r="I3550" s="4"/>
      <c r="J3550" s="33">
        <f>SUM(AE3546:AE3549)</f>
        <v>52310.29</v>
      </c>
      <c r="K3550" s="33"/>
      <c r="M3550"/>
      <c r="N3550"/>
      <c r="O3550"/>
      <c r="P3550"/>
      <c r="Q3550"/>
    </row>
    <row r="3551" spans="1:33" ht="14.25" x14ac:dyDescent="0.2">
      <c r="A3551" s="31"/>
      <c r="B3551" s="31"/>
      <c r="C3551" s="31" t="s">
        <v>42</v>
      </c>
      <c r="D3551" s="32" t="s">
        <v>43</v>
      </c>
      <c r="E3551" s="4">
        <f>[1]Source!AQ4149</f>
        <v>0.14000000000000001</v>
      </c>
      <c r="F3551" s="33"/>
      <c r="G3551" s="34" t="str">
        <f>[1]Source!DI4149</f>
        <v>)*3*398</v>
      </c>
      <c r="H3551" s="4">
        <f>[1]Source!AV4149</f>
        <v>1</v>
      </c>
      <c r="I3551" s="4"/>
      <c r="J3551" s="33"/>
      <c r="K3551" s="33">
        <f>[1]Source!U4149</f>
        <v>2109.8935200000001</v>
      </c>
      <c r="M3551"/>
      <c r="N3551"/>
      <c r="O3551"/>
      <c r="P3551"/>
      <c r="Q3551"/>
    </row>
    <row r="3552" spans="1:33" ht="15" x14ac:dyDescent="0.25">
      <c r="A3552" s="35"/>
      <c r="B3552" s="35"/>
      <c r="C3552" s="35"/>
      <c r="D3552" s="35"/>
      <c r="E3552" s="35"/>
      <c r="F3552" s="35"/>
      <c r="G3552" s="35"/>
      <c r="H3552" s="35"/>
      <c r="I3552" s="36">
        <f>J3548+J3549+J3550</f>
        <v>941585.20000000007</v>
      </c>
      <c r="J3552" s="36"/>
      <c r="K3552" s="37">
        <f>IF([1]Source!I4149&lt;&gt;0, ROUND(I3552/[1]Source!I4149, 2), 0)</f>
        <v>74598.73</v>
      </c>
      <c r="M3552"/>
      <c r="N3552"/>
      <c r="O3552"/>
      <c r="P3552"/>
      <c r="Q3552"/>
      <c r="AA3552" s="38">
        <f>I3552</f>
        <v>941585.20000000007</v>
      </c>
    </row>
    <row r="3553" spans="1:33" ht="57" x14ac:dyDescent="0.2">
      <c r="A3553" s="31">
        <v>447</v>
      </c>
      <c r="B3553" s="31" t="str">
        <f>[1]Source!F4150</f>
        <v>5.3-1101-13-1/1</v>
      </c>
      <c r="C3553" s="31" t="str">
        <f>[1]Source!G4150</f>
        <v>Подметание вручную дорожек и площадок с твердым покрытием (  дополнительное подметание покрытий в осенний период)</v>
      </c>
      <c r="D3553" s="32" t="str">
        <f>[1]Source!H4150</f>
        <v>100 м2</v>
      </c>
      <c r="E3553" s="4">
        <f>[1]Source!I4150</f>
        <v>12.622</v>
      </c>
      <c r="F3553" s="33"/>
      <c r="G3553" s="34"/>
      <c r="H3553" s="4"/>
      <c r="I3553" s="4"/>
      <c r="J3553" s="33"/>
      <c r="K3553" s="33"/>
      <c r="M3553"/>
      <c r="N3553"/>
      <c r="O3553"/>
      <c r="P3553"/>
      <c r="Q3553"/>
      <c r="AB3553">
        <f>ROUND(([1]Source!BZ4150/100)*ROUND(([1]Source!AF4150*[1]Source!AV4150)*[1]Source!I4150, 2), 2)</f>
        <v>18400.61</v>
      </c>
      <c r="AC3553">
        <f>[1]Source!X4150</f>
        <v>18400.61</v>
      </c>
      <c r="AD3553">
        <f>ROUND(([1]Source!CA4150/100)*ROUND(([1]Source!AF4150*[1]Source!AV4150)*[1]Source!I4150, 2), 2)</f>
        <v>2628.66</v>
      </c>
      <c r="AE3553">
        <f>[1]Source!Y4150</f>
        <v>2628.66</v>
      </c>
      <c r="AF3553">
        <f>ROUND((175/100)*ROUND(([1]Source!AE4150*[1]Source!AV4150)*[1]Source!I4150, 2), 2)</f>
        <v>0</v>
      </c>
      <c r="AG3553">
        <f>ROUND((108/100)*ROUND([1]Source!CS4150*[1]Source!I4150, 2), 2)</f>
        <v>0</v>
      </c>
    </row>
    <row r="3554" spans="1:33" x14ac:dyDescent="0.2">
      <c r="C3554" s="40" t="str">
        <f>"Объем: "&amp;[1]Source!I4150&amp;"=1262,2/"&amp;"100"</f>
        <v>Объем: 12,622=1262,2/100</v>
      </c>
      <c r="M3554"/>
      <c r="N3554"/>
      <c r="O3554"/>
      <c r="P3554"/>
      <c r="Q3554"/>
    </row>
    <row r="3555" spans="1:33" ht="14.25" x14ac:dyDescent="0.2">
      <c r="A3555" s="31"/>
      <c r="B3555" s="31"/>
      <c r="C3555" s="31" t="s">
        <v>34</v>
      </c>
      <c r="D3555" s="32"/>
      <c r="E3555" s="4"/>
      <c r="F3555" s="33">
        <f>[1]Source!AO4150</f>
        <v>34.71</v>
      </c>
      <c r="G3555" s="34" t="str">
        <f>[1]Source!DG4150</f>
        <v>)*1*60</v>
      </c>
      <c r="H3555" s="4">
        <f>[1]Source!AV4150</f>
        <v>1</v>
      </c>
      <c r="I3555" s="4">
        <f>IF([1]Source!BA4150&lt;&gt; 0, [1]Source!BA4150, 1)</f>
        <v>1</v>
      </c>
      <c r="J3555" s="33">
        <f>[1]Source!S4150</f>
        <v>26286.58</v>
      </c>
      <c r="K3555" s="33"/>
      <c r="M3555"/>
      <c r="N3555"/>
      <c r="O3555"/>
      <c r="P3555"/>
      <c r="Q3555"/>
    </row>
    <row r="3556" spans="1:33" ht="14.25" x14ac:dyDescent="0.2">
      <c r="A3556" s="31"/>
      <c r="B3556" s="31"/>
      <c r="C3556" s="31" t="s">
        <v>40</v>
      </c>
      <c r="D3556" s="32" t="s">
        <v>39</v>
      </c>
      <c r="E3556" s="4">
        <f>[1]Source!AT4150</f>
        <v>70</v>
      </c>
      <c r="F3556" s="33"/>
      <c r="G3556" s="34"/>
      <c r="H3556" s="4"/>
      <c r="I3556" s="4"/>
      <c r="J3556" s="33">
        <f>SUM(AC3553:AC3555)</f>
        <v>18400.61</v>
      </c>
      <c r="K3556" s="33"/>
      <c r="M3556"/>
      <c r="N3556"/>
      <c r="O3556"/>
      <c r="P3556"/>
      <c r="Q3556"/>
    </row>
    <row r="3557" spans="1:33" ht="14.25" x14ac:dyDescent="0.2">
      <c r="A3557" s="31"/>
      <c r="B3557" s="31"/>
      <c r="C3557" s="31" t="s">
        <v>41</v>
      </c>
      <c r="D3557" s="32" t="s">
        <v>39</v>
      </c>
      <c r="E3557" s="4">
        <f>[1]Source!AU4150</f>
        <v>10</v>
      </c>
      <c r="F3557" s="33"/>
      <c r="G3557" s="34"/>
      <c r="H3557" s="4"/>
      <c r="I3557" s="4"/>
      <c r="J3557" s="33">
        <f>SUM(AE3553:AE3556)</f>
        <v>2628.66</v>
      </c>
      <c r="K3557" s="33"/>
      <c r="M3557"/>
      <c r="N3557"/>
      <c r="O3557"/>
      <c r="P3557"/>
      <c r="Q3557"/>
    </row>
    <row r="3558" spans="1:33" ht="14.25" x14ac:dyDescent="0.2">
      <c r="A3558" s="31"/>
      <c r="B3558" s="31"/>
      <c r="C3558" s="31" t="s">
        <v>42</v>
      </c>
      <c r="D3558" s="32" t="s">
        <v>43</v>
      </c>
      <c r="E3558" s="4">
        <f>[1]Source!AQ4150</f>
        <v>0.14000000000000001</v>
      </c>
      <c r="F3558" s="33"/>
      <c r="G3558" s="34" t="str">
        <f>[1]Source!DI4150</f>
        <v>)*1*60</v>
      </c>
      <c r="H3558" s="4">
        <f>[1]Source!AV4150</f>
        <v>1</v>
      </c>
      <c r="I3558" s="4"/>
      <c r="J3558" s="33"/>
      <c r="K3558" s="33">
        <f>[1]Source!U4150</f>
        <v>106.0248</v>
      </c>
      <c r="M3558"/>
      <c r="N3558"/>
      <c r="O3558"/>
      <c r="P3558"/>
      <c r="Q3558"/>
    </row>
    <row r="3559" spans="1:33" ht="15" x14ac:dyDescent="0.25">
      <c r="A3559" s="35"/>
      <c r="B3559" s="35"/>
      <c r="C3559" s="35"/>
      <c r="D3559" s="35"/>
      <c r="E3559" s="35"/>
      <c r="F3559" s="35"/>
      <c r="G3559" s="35"/>
      <c r="H3559" s="35"/>
      <c r="I3559" s="36">
        <f>J3555+J3556+J3557</f>
        <v>47315.850000000006</v>
      </c>
      <c r="J3559" s="36"/>
      <c r="K3559" s="37">
        <f>IF([1]Source!I4150&lt;&gt;0, ROUND(I3559/[1]Source!I4150, 2), 0)</f>
        <v>3748.68</v>
      </c>
      <c r="M3559"/>
      <c r="N3559"/>
      <c r="O3559"/>
      <c r="P3559"/>
      <c r="Q3559"/>
      <c r="AA3559" s="38">
        <f>I3559</f>
        <v>47315.850000000006</v>
      </c>
    </row>
    <row r="3560" spans="1:33" ht="14.25" x14ac:dyDescent="0.2">
      <c r="A3560" s="31">
        <v>448</v>
      </c>
      <c r="B3560" s="31" t="str">
        <f>[1]Source!F4151</f>
        <v>5.3-1101-14-1/1</v>
      </c>
      <c r="C3560" s="31" t="str">
        <f>[1]Source!G4151</f>
        <v>Полив дорожек из шланга вручную</v>
      </c>
      <c r="D3560" s="32" t="str">
        <f>[1]Source!H4151</f>
        <v>100 м2</v>
      </c>
      <c r="E3560" s="4">
        <f>[1]Source!I4151</f>
        <v>12.622</v>
      </c>
      <c r="F3560" s="33"/>
      <c r="G3560" s="34"/>
      <c r="H3560" s="4"/>
      <c r="I3560" s="4"/>
      <c r="J3560" s="33"/>
      <c r="K3560" s="33"/>
      <c r="M3560"/>
      <c r="N3560"/>
      <c r="O3560"/>
      <c r="P3560"/>
      <c r="Q3560"/>
      <c r="AB3560">
        <f>ROUND(([1]Source!BZ4151/100)*ROUND(([1]Source!AF4151*[1]Source!AV4151)*[1]Source!I4151, 2), 2)</f>
        <v>51257.69</v>
      </c>
      <c r="AC3560">
        <f>[1]Source!X4151</f>
        <v>51257.69</v>
      </c>
      <c r="AD3560">
        <f>ROUND(([1]Source!CA4151/100)*ROUND(([1]Source!AF4151*[1]Source!AV4151)*[1]Source!I4151, 2), 2)</f>
        <v>7322.53</v>
      </c>
      <c r="AE3560">
        <f>[1]Source!Y4151</f>
        <v>7322.53</v>
      </c>
      <c r="AF3560">
        <f>ROUND((175/100)*ROUND(([1]Source!AE4151*[1]Source!AV4151)*[1]Source!I4151, 2), 2)</f>
        <v>0</v>
      </c>
      <c r="AG3560">
        <f>ROUND((108/100)*ROUND([1]Source!CS4151*[1]Source!I4151, 2), 2)</f>
        <v>0</v>
      </c>
    </row>
    <row r="3561" spans="1:33" x14ac:dyDescent="0.2">
      <c r="C3561" s="40" t="str">
        <f>"Объем: "&amp;[1]Source!I4151&amp;"=1262,2/"&amp;"100"</f>
        <v>Объем: 12,622=1262,2/100</v>
      </c>
      <c r="M3561"/>
      <c r="N3561"/>
      <c r="O3561"/>
      <c r="P3561"/>
      <c r="Q3561"/>
    </row>
    <row r="3562" spans="1:33" ht="14.25" x14ac:dyDescent="0.2">
      <c r="A3562" s="31"/>
      <c r="B3562" s="31"/>
      <c r="C3562" s="31" t="s">
        <v>34</v>
      </c>
      <c r="D3562" s="32"/>
      <c r="E3562" s="4"/>
      <c r="F3562" s="33">
        <f>[1]Source!AO4151</f>
        <v>32.229999999999997</v>
      </c>
      <c r="G3562" s="34" t="str">
        <f>[1]Source!DG4151</f>
        <v>)*2*90</v>
      </c>
      <c r="H3562" s="4">
        <f>[1]Source!AV4151</f>
        <v>1</v>
      </c>
      <c r="I3562" s="4">
        <f>IF([1]Source!BA4151&lt;&gt; 0, [1]Source!BA4151, 1)</f>
        <v>1</v>
      </c>
      <c r="J3562" s="33">
        <f>[1]Source!S4151</f>
        <v>73225.27</v>
      </c>
      <c r="K3562" s="33"/>
      <c r="M3562"/>
      <c r="N3562"/>
      <c r="O3562"/>
      <c r="P3562"/>
      <c r="Q3562"/>
    </row>
    <row r="3563" spans="1:33" ht="14.25" x14ac:dyDescent="0.2">
      <c r="A3563" s="31"/>
      <c r="B3563" s="31"/>
      <c r="C3563" s="31" t="s">
        <v>47</v>
      </c>
      <c r="D3563" s="32"/>
      <c r="E3563" s="4"/>
      <c r="F3563" s="33">
        <f>[1]Source!AL4151</f>
        <v>4.24</v>
      </c>
      <c r="G3563" s="34" t="str">
        <f>[1]Source!DD4151</f>
        <v>)*2*90</v>
      </c>
      <c r="H3563" s="4">
        <f>[1]Source!AW4151</f>
        <v>1</v>
      </c>
      <c r="I3563" s="4">
        <f>IF([1]Source!BC4151&lt;&gt; 0, [1]Source!BC4151, 1)</f>
        <v>1</v>
      </c>
      <c r="J3563" s="33">
        <f>[1]Source!P4151</f>
        <v>9633.11</v>
      </c>
      <c r="K3563" s="33"/>
      <c r="M3563"/>
      <c r="N3563"/>
      <c r="O3563"/>
      <c r="P3563"/>
      <c r="Q3563"/>
    </row>
    <row r="3564" spans="1:33" ht="14.25" x14ac:dyDescent="0.2">
      <c r="A3564" s="31" t="s">
        <v>179</v>
      </c>
      <c r="B3564" s="31" t="str">
        <f>[1]Source!F4152</f>
        <v>21.1-25-13</v>
      </c>
      <c r="C3564" s="31" t="str">
        <f>[1]Source!G4152</f>
        <v>Вода</v>
      </c>
      <c r="D3564" s="32" t="str">
        <f>[1]Source!H4152</f>
        <v>м3</v>
      </c>
      <c r="E3564" s="4">
        <f>[1]Source!I4152</f>
        <v>-227.196</v>
      </c>
      <c r="F3564" s="33">
        <f>[1]Source!AK4152</f>
        <v>42.44</v>
      </c>
      <c r="G3564" s="39" t="s">
        <v>104</v>
      </c>
      <c r="H3564" s="4">
        <f>[1]Source!AW4152</f>
        <v>1</v>
      </c>
      <c r="I3564" s="4">
        <f>IF([1]Source!BC4152&lt;&gt; 0, [1]Source!BC4152, 1)</f>
        <v>1</v>
      </c>
      <c r="J3564" s="33">
        <f>[1]Source!O4152</f>
        <v>-9642.2000000000007</v>
      </c>
      <c r="K3564" s="33"/>
      <c r="M3564"/>
      <c r="N3564"/>
      <c r="O3564"/>
      <c r="P3564"/>
      <c r="Q3564"/>
      <c r="AB3564">
        <f>ROUND(([1]Source!BZ4152/100)*ROUND(([1]Source!AF4152*[1]Source!AV4152)*[1]Source!I4152, 2), 2)</f>
        <v>0</v>
      </c>
      <c r="AC3564">
        <f>[1]Source!X4152</f>
        <v>0</v>
      </c>
      <c r="AD3564">
        <f>ROUND(([1]Source!CA4152/100)*ROUND(([1]Source!AF4152*[1]Source!AV4152)*[1]Source!I4152, 2), 2)</f>
        <v>0</v>
      </c>
      <c r="AE3564">
        <f>[1]Source!Y4152</f>
        <v>0</v>
      </c>
      <c r="AF3564">
        <f>ROUND((175/100)*ROUND(([1]Source!AE4152*[1]Source!AV4152)*[1]Source!I4152, 2), 2)</f>
        <v>0</v>
      </c>
      <c r="AG3564">
        <f>ROUND((108/100)*ROUND([1]Source!CS4152*[1]Source!I4152, 2), 2)</f>
        <v>0</v>
      </c>
    </row>
    <row r="3565" spans="1:33" ht="14.25" x14ac:dyDescent="0.2">
      <c r="A3565" s="31"/>
      <c r="B3565" s="31"/>
      <c r="C3565" s="31" t="s">
        <v>40</v>
      </c>
      <c r="D3565" s="32" t="s">
        <v>39</v>
      </c>
      <c r="E3565" s="4">
        <f>[1]Source!AT4151</f>
        <v>70</v>
      </c>
      <c r="F3565" s="33"/>
      <c r="G3565" s="34"/>
      <c r="H3565" s="4"/>
      <c r="I3565" s="4"/>
      <c r="J3565" s="33">
        <f>SUM(AC3560:AC3564)</f>
        <v>51257.69</v>
      </c>
      <c r="K3565" s="33"/>
      <c r="M3565"/>
      <c r="N3565"/>
      <c r="O3565"/>
      <c r="P3565"/>
      <c r="Q3565"/>
    </row>
    <row r="3566" spans="1:33" ht="14.25" x14ac:dyDescent="0.2">
      <c r="A3566" s="31"/>
      <c r="B3566" s="31"/>
      <c r="C3566" s="31" t="s">
        <v>41</v>
      </c>
      <c r="D3566" s="32" t="s">
        <v>39</v>
      </c>
      <c r="E3566" s="4">
        <f>[1]Source!AU4151</f>
        <v>10</v>
      </c>
      <c r="F3566" s="33"/>
      <c r="G3566" s="34"/>
      <c r="H3566" s="4"/>
      <c r="I3566" s="4"/>
      <c r="J3566" s="33">
        <f>SUM(AE3560:AE3565)</f>
        <v>7322.53</v>
      </c>
      <c r="K3566" s="33"/>
      <c r="M3566"/>
      <c r="N3566"/>
      <c r="O3566"/>
      <c r="P3566"/>
      <c r="Q3566"/>
    </row>
    <row r="3567" spans="1:33" ht="14.25" x14ac:dyDescent="0.2">
      <c r="A3567" s="31"/>
      <c r="B3567" s="31"/>
      <c r="C3567" s="31" t="s">
        <v>42</v>
      </c>
      <c r="D3567" s="32" t="s">
        <v>43</v>
      </c>
      <c r="E3567" s="4">
        <f>[1]Source!AQ4151</f>
        <v>0.13</v>
      </c>
      <c r="F3567" s="33"/>
      <c r="G3567" s="34" t="str">
        <f>[1]Source!DI4151</f>
        <v>)*2*90</v>
      </c>
      <c r="H3567" s="4">
        <f>[1]Source!AV4151</f>
        <v>1</v>
      </c>
      <c r="I3567" s="4"/>
      <c r="J3567" s="33"/>
      <c r="K3567" s="33">
        <f>[1]Source!U4151</f>
        <v>295.35480000000001</v>
      </c>
      <c r="M3567"/>
      <c r="N3567"/>
      <c r="O3567"/>
      <c r="P3567"/>
      <c r="Q3567"/>
    </row>
    <row r="3568" spans="1:33" ht="15" x14ac:dyDescent="0.25">
      <c r="A3568" s="35"/>
      <c r="B3568" s="35"/>
      <c r="C3568" s="35"/>
      <c r="D3568" s="35"/>
      <c r="E3568" s="35"/>
      <c r="F3568" s="35"/>
      <c r="G3568" s="35"/>
      <c r="H3568" s="35"/>
      <c r="I3568" s="36">
        <f>J3562+J3563+J3565+J3566+SUM(J3564:J3564)</f>
        <v>131796.4</v>
      </c>
      <c r="J3568" s="36"/>
      <c r="K3568" s="37">
        <f>IF([1]Source!I4151&lt;&gt;0, ROUND(I3568/[1]Source!I4151, 2), 0)</f>
        <v>10441.799999999999</v>
      </c>
      <c r="M3568"/>
      <c r="N3568"/>
      <c r="O3568"/>
      <c r="P3568"/>
      <c r="Q3568"/>
      <c r="AA3568" s="38">
        <f>I3568</f>
        <v>131796.4</v>
      </c>
    </row>
    <row r="3569" spans="1:43" x14ac:dyDescent="0.2">
      <c r="M3569"/>
      <c r="N3569"/>
      <c r="O3569"/>
      <c r="P3569"/>
      <c r="Q3569"/>
    </row>
    <row r="3570" spans="1:43" ht="15" x14ac:dyDescent="0.25">
      <c r="A3570" s="42" t="str">
        <f>CONCATENATE("Итого по подразделу: ",IF([1]Source!G4154&lt;&gt;"Новый подраздел", [1]Source!G4154, ""))</f>
        <v>Итого по подразделу: Содержание покрытий( S=1262,2 м2)</v>
      </c>
      <c r="B3570" s="42"/>
      <c r="C3570" s="42"/>
      <c r="D3570" s="42"/>
      <c r="E3570" s="42"/>
      <c r="F3570" s="42"/>
      <c r="G3570" s="42"/>
      <c r="H3570" s="42"/>
      <c r="I3570" s="43">
        <f>SUM(AA3545:AA3569)</f>
        <v>1120697.45</v>
      </c>
      <c r="J3570" s="44"/>
      <c r="K3570" s="47"/>
      <c r="L3570" s="38">
        <f>I3570</f>
        <v>1120697.45</v>
      </c>
      <c r="M3570" s="2">
        <f>ROUND(I3570*$I$4874,2)</f>
        <v>809375.37</v>
      </c>
      <c r="N3570" s="2">
        <f>ROUND(M3570*1.2/105*100,2)</f>
        <v>925000.42</v>
      </c>
      <c r="O3570" s="2">
        <f>ROUND(N3570*0.05,2)</f>
        <v>46250.02</v>
      </c>
      <c r="P3570" s="2">
        <f>N3570+O3570</f>
        <v>971250.44000000006</v>
      </c>
      <c r="Q3570" s="3">
        <v>115</v>
      </c>
      <c r="S3570" s="2">
        <v>0</v>
      </c>
    </row>
    <row r="3571" spans="1:43" x14ac:dyDescent="0.2">
      <c r="M3571"/>
      <c r="N3571"/>
      <c r="O3571"/>
      <c r="P3571"/>
      <c r="Q3571"/>
    </row>
    <row r="3572" spans="1:43" x14ac:dyDescent="0.2">
      <c r="M3572"/>
      <c r="N3572"/>
      <c r="O3572"/>
      <c r="P3572"/>
      <c r="Q3572"/>
    </row>
    <row r="3573" spans="1:43" ht="15" x14ac:dyDescent="0.25">
      <c r="A3573" s="42" t="str">
        <f>CONCATENATE("Итого по разделу: ",IF([1]Source!G4184&lt;&gt;"Новый раздел", [1]Source!G4184, ""))</f>
        <v>Итого по разделу: Содержание покрытий тротуара " Храма зачатия праведной Анны".( S= 1262,2 м2 ).</v>
      </c>
      <c r="B3573" s="42"/>
      <c r="C3573" s="42"/>
      <c r="D3573" s="42"/>
      <c r="E3573" s="42"/>
      <c r="F3573" s="42"/>
      <c r="G3573" s="42"/>
      <c r="H3573" s="42"/>
      <c r="I3573" s="43">
        <f>SUM(AA3543:AA3572)</f>
        <v>1120697.45</v>
      </c>
      <c r="J3573" s="44"/>
      <c r="K3573" s="47"/>
      <c r="L3573" s="38">
        <f>I3573</f>
        <v>1120697.45</v>
      </c>
      <c r="M3573" s="2">
        <f>ROUND(I3573*$I$4874,2)</f>
        <v>809375.37</v>
      </c>
      <c r="N3573" s="2">
        <f>ROUND(M3573*1.2/105*100,2)</f>
        <v>925000.42</v>
      </c>
      <c r="O3573" s="2">
        <f>ROUND(N3573*0.05,2)</f>
        <v>46250.02</v>
      </c>
      <c r="P3573" s="2">
        <f>P3570</f>
        <v>971250.44000000006</v>
      </c>
      <c r="Q3573" s="48"/>
      <c r="R3573">
        <v>2</v>
      </c>
      <c r="AQ3573" s="46" t="str">
        <f>CONCATENATE("Итого по разделу: ",IF([1]Source!G4184&lt;&gt;"Новый раздел", [1]Source!G4184, ""))</f>
        <v>Итого по разделу: Содержание покрытий тротуара " Храма зачатия праведной Анны".( S= 1262,2 м2 ).</v>
      </c>
    </row>
    <row r="3574" spans="1:43" x14ac:dyDescent="0.2">
      <c r="M3574"/>
      <c r="N3574"/>
      <c r="O3574"/>
      <c r="P3574"/>
      <c r="Q3574"/>
    </row>
    <row r="3575" spans="1:43" x14ac:dyDescent="0.2">
      <c r="M3575"/>
      <c r="N3575"/>
      <c r="O3575"/>
      <c r="P3575"/>
      <c r="Q3575"/>
    </row>
    <row r="3576" spans="1:43" ht="16.5" x14ac:dyDescent="0.25">
      <c r="A3576" s="29" t="str">
        <f>CONCATENATE("Раздел: ",IF([1]Source!G4214&lt;&gt;"Новый раздел", [1]Source!G4214, ""))</f>
        <v>Раздел: Боевой ход Китайгородской стены. (S=1414,76м2)</v>
      </c>
      <c r="B3576" s="29"/>
      <c r="C3576" s="29"/>
      <c r="D3576" s="29"/>
      <c r="E3576" s="29"/>
      <c r="F3576" s="29"/>
      <c r="G3576" s="29"/>
      <c r="H3576" s="29"/>
      <c r="I3576" s="29"/>
      <c r="J3576" s="29"/>
      <c r="K3576" s="29"/>
      <c r="M3576"/>
      <c r="N3576"/>
      <c r="O3576"/>
      <c r="P3576"/>
      <c r="Q3576"/>
    </row>
    <row r="3577" spans="1:43" x14ac:dyDescent="0.2">
      <c r="M3577"/>
      <c r="N3577"/>
      <c r="O3577"/>
      <c r="P3577"/>
      <c r="Q3577"/>
    </row>
    <row r="3578" spans="1:43" ht="16.5" x14ac:dyDescent="0.25">
      <c r="A3578" s="29" t="str">
        <f>CONCATENATE("Подраздел: ",IF([1]Source!G4218&lt;&gt;"Новый подраздел", [1]Source!G4218, ""))</f>
        <v>Подраздел: Содержание покрытий</v>
      </c>
      <c r="B3578" s="29"/>
      <c r="C3578" s="29"/>
      <c r="D3578" s="29"/>
      <c r="E3578" s="29"/>
      <c r="F3578" s="29"/>
      <c r="G3578" s="29"/>
      <c r="H3578" s="29"/>
      <c r="I3578" s="29"/>
      <c r="J3578" s="29"/>
      <c r="K3578" s="29"/>
      <c r="M3578"/>
      <c r="N3578"/>
      <c r="O3578"/>
      <c r="P3578"/>
      <c r="Q3578"/>
    </row>
    <row r="3579" spans="1:43" ht="28.5" x14ac:dyDescent="0.2">
      <c r="A3579" s="31">
        <v>449</v>
      </c>
      <c r="B3579" s="31" t="str">
        <f>[1]Source!F4222</f>
        <v>5.3-1101-13-1/1</v>
      </c>
      <c r="C3579" s="31" t="str">
        <f>[1]Source!G4222</f>
        <v>Подметание вручную дорожек и площадок с твердым покрытием</v>
      </c>
      <c r="D3579" s="32" t="str">
        <f>[1]Source!H4222</f>
        <v>100 м2</v>
      </c>
      <c r="E3579" s="4">
        <f>[1]Source!I4222</f>
        <v>14.147600000000001</v>
      </c>
      <c r="F3579" s="33"/>
      <c r="G3579" s="34"/>
      <c r="H3579" s="4"/>
      <c r="I3579" s="4"/>
      <c r="J3579" s="33"/>
      <c r="K3579" s="33"/>
      <c r="M3579"/>
      <c r="N3579"/>
      <c r="O3579"/>
      <c r="P3579"/>
      <c r="Q3579"/>
      <c r="AB3579">
        <f>ROUND(([1]Source!BZ4222/100)*ROUND(([1]Source!AF4222*[1]Source!AV4222)*[1]Source!I4222, 2), 2)</f>
        <v>136810.21</v>
      </c>
      <c r="AC3579">
        <f>[1]Source!X4222</f>
        <v>136810.21</v>
      </c>
      <c r="AD3579">
        <f>ROUND(([1]Source!CA4222/100)*ROUND(([1]Source!AF4222*[1]Source!AV4222)*[1]Source!I4222, 2), 2)</f>
        <v>19544.32</v>
      </c>
      <c r="AE3579">
        <f>[1]Source!Y4222</f>
        <v>19544.32</v>
      </c>
      <c r="AF3579">
        <f>ROUND((175/100)*ROUND(([1]Source!AE4222*[1]Source!AV4222)*[1]Source!I4222, 2), 2)</f>
        <v>0</v>
      </c>
      <c r="AG3579">
        <f>ROUND((108/100)*ROUND([1]Source!CS4222*[1]Source!I4222, 2), 2)</f>
        <v>0</v>
      </c>
    </row>
    <row r="3580" spans="1:43" x14ac:dyDescent="0.2">
      <c r="C3580" s="40" t="str">
        <f>"Объем: "&amp;[1]Source!I4222&amp;"=1414,76/"&amp;"100"</f>
        <v>Объем: 14,1476=1414,76/100</v>
      </c>
      <c r="M3580"/>
      <c r="N3580"/>
      <c r="O3580"/>
      <c r="P3580"/>
      <c r="Q3580"/>
    </row>
    <row r="3581" spans="1:43" ht="14.25" x14ac:dyDescent="0.2">
      <c r="A3581" s="31"/>
      <c r="B3581" s="31"/>
      <c r="C3581" s="31" t="s">
        <v>34</v>
      </c>
      <c r="D3581" s="32"/>
      <c r="E3581" s="4"/>
      <c r="F3581" s="33">
        <f>[1]Source!AO4222</f>
        <v>34.71</v>
      </c>
      <c r="G3581" s="34" t="str">
        <f>[1]Source!DG4222</f>
        <v>)*1*398</v>
      </c>
      <c r="H3581" s="4">
        <f>[1]Source!AV4222</f>
        <v>1</v>
      </c>
      <c r="I3581" s="4">
        <f>IF([1]Source!BA4222&lt;&gt; 0, [1]Source!BA4222, 1)</f>
        <v>1</v>
      </c>
      <c r="J3581" s="33">
        <f>[1]Source!S4222</f>
        <v>195443.15</v>
      </c>
      <c r="K3581" s="33"/>
      <c r="M3581"/>
      <c r="N3581"/>
      <c r="O3581"/>
      <c r="P3581"/>
      <c r="Q3581"/>
    </row>
    <row r="3582" spans="1:43" ht="14.25" x14ac:dyDescent="0.2">
      <c r="A3582" s="31"/>
      <c r="B3582" s="31"/>
      <c r="C3582" s="31" t="s">
        <v>40</v>
      </c>
      <c r="D3582" s="32" t="s">
        <v>39</v>
      </c>
      <c r="E3582" s="4">
        <f>[1]Source!AT4222</f>
        <v>70</v>
      </c>
      <c r="F3582" s="33"/>
      <c r="G3582" s="34"/>
      <c r="H3582" s="4"/>
      <c r="I3582" s="4"/>
      <c r="J3582" s="33">
        <f>SUM(AC3579:AC3581)</f>
        <v>136810.21</v>
      </c>
      <c r="K3582" s="33"/>
      <c r="M3582"/>
      <c r="N3582"/>
      <c r="O3582"/>
      <c r="P3582"/>
      <c r="Q3582"/>
    </row>
    <row r="3583" spans="1:43" ht="14.25" x14ac:dyDescent="0.2">
      <c r="A3583" s="31"/>
      <c r="B3583" s="31"/>
      <c r="C3583" s="31" t="s">
        <v>41</v>
      </c>
      <c r="D3583" s="32" t="s">
        <v>39</v>
      </c>
      <c r="E3583" s="4">
        <f>[1]Source!AU4222</f>
        <v>10</v>
      </c>
      <c r="F3583" s="33"/>
      <c r="G3583" s="34"/>
      <c r="H3583" s="4"/>
      <c r="I3583" s="4"/>
      <c r="J3583" s="33">
        <f>SUM(AE3579:AE3582)</f>
        <v>19544.32</v>
      </c>
      <c r="K3583" s="33"/>
      <c r="M3583"/>
      <c r="N3583"/>
      <c r="O3583"/>
      <c r="P3583"/>
      <c r="Q3583"/>
    </row>
    <row r="3584" spans="1:43" ht="14.25" x14ac:dyDescent="0.2">
      <c r="A3584" s="31"/>
      <c r="B3584" s="31"/>
      <c r="C3584" s="31" t="s">
        <v>42</v>
      </c>
      <c r="D3584" s="32" t="s">
        <v>43</v>
      </c>
      <c r="E3584" s="4">
        <f>[1]Source!AQ4222</f>
        <v>0.14000000000000001</v>
      </c>
      <c r="F3584" s="33"/>
      <c r="G3584" s="34" t="str">
        <f>[1]Source!DI4222</f>
        <v>)*1*398</v>
      </c>
      <c r="H3584" s="4">
        <f>[1]Source!AV4222</f>
        <v>1</v>
      </c>
      <c r="I3584" s="4"/>
      <c r="J3584" s="33"/>
      <c r="K3584" s="33">
        <f>[1]Source!U4222</f>
        <v>788.30427200000008</v>
      </c>
      <c r="M3584"/>
      <c r="N3584"/>
      <c r="O3584"/>
      <c r="P3584"/>
      <c r="Q3584"/>
    </row>
    <row r="3585" spans="1:33" ht="15" x14ac:dyDescent="0.25">
      <c r="A3585" s="35"/>
      <c r="B3585" s="35"/>
      <c r="C3585" s="35"/>
      <c r="D3585" s="35"/>
      <c r="E3585" s="35"/>
      <c r="F3585" s="35"/>
      <c r="G3585" s="35"/>
      <c r="H3585" s="35"/>
      <c r="I3585" s="36">
        <f>J3581+J3582+J3583</f>
        <v>351797.68</v>
      </c>
      <c r="J3585" s="36"/>
      <c r="K3585" s="37">
        <f>IF([1]Source!I4222&lt;&gt;0, ROUND(I3585/[1]Source!I4222, 2), 0)</f>
        <v>24866.240000000002</v>
      </c>
      <c r="M3585"/>
      <c r="N3585"/>
      <c r="O3585"/>
      <c r="P3585"/>
      <c r="Q3585"/>
      <c r="AA3585" s="38">
        <f>I3585</f>
        <v>351797.68</v>
      </c>
    </row>
    <row r="3586" spans="1:33" x14ac:dyDescent="0.2">
      <c r="M3586"/>
      <c r="N3586"/>
      <c r="O3586"/>
      <c r="P3586"/>
      <c r="Q3586"/>
    </row>
    <row r="3587" spans="1:33" ht="15" x14ac:dyDescent="0.25">
      <c r="A3587" s="42" t="str">
        <f>CONCATENATE("Итого по подразделу: ",IF([1]Source!G4224&lt;&gt;"Новый подраздел", [1]Source!G4224, ""))</f>
        <v>Итого по подразделу: Содержание покрытий</v>
      </c>
      <c r="B3587" s="42"/>
      <c r="C3587" s="42"/>
      <c r="D3587" s="42"/>
      <c r="E3587" s="42"/>
      <c r="F3587" s="42"/>
      <c r="G3587" s="42"/>
      <c r="H3587" s="42"/>
      <c r="I3587" s="43">
        <f>SUM(AA3578:AA3586)</f>
        <v>351797.68</v>
      </c>
      <c r="J3587" s="44"/>
      <c r="K3587" s="47"/>
      <c r="L3587" s="38">
        <f>I3587</f>
        <v>351797.68</v>
      </c>
      <c r="M3587" s="2">
        <f>ROUND(I3587*$I$4874,2)</f>
        <v>254070.69</v>
      </c>
      <c r="N3587" s="2">
        <f>ROUND(M3587*1.2/105*100,2)</f>
        <v>290366.5</v>
      </c>
      <c r="O3587" s="2">
        <f>ROUND(N3587*0.05,2)</f>
        <v>14518.33</v>
      </c>
      <c r="P3587" s="2">
        <f>N3587+O3587</f>
        <v>304884.83</v>
      </c>
      <c r="Q3587" s="3">
        <v>116</v>
      </c>
      <c r="S3587" s="2">
        <v>0</v>
      </c>
    </row>
    <row r="3588" spans="1:33" x14ac:dyDescent="0.2">
      <c r="M3588"/>
      <c r="N3588"/>
      <c r="O3588"/>
      <c r="P3588"/>
      <c r="Q3588"/>
    </row>
    <row r="3589" spans="1:33" x14ac:dyDescent="0.2">
      <c r="M3589"/>
      <c r="N3589"/>
      <c r="O3589"/>
      <c r="P3589"/>
      <c r="Q3589"/>
    </row>
    <row r="3590" spans="1:33" ht="16.5" x14ac:dyDescent="0.25">
      <c r="A3590" s="29" t="str">
        <f>CONCATENATE("Подраздел: ",IF([1]Source!G4254&lt;&gt;"Новый подраздел", [1]Source!G4254, ""))</f>
        <v>Подраздел: Лестница</v>
      </c>
      <c r="B3590" s="29"/>
      <c r="C3590" s="29"/>
      <c r="D3590" s="29"/>
      <c r="E3590" s="29"/>
      <c r="F3590" s="29"/>
      <c r="G3590" s="29"/>
      <c r="H3590" s="29"/>
      <c r="I3590" s="29"/>
      <c r="J3590" s="29"/>
      <c r="K3590" s="29"/>
      <c r="M3590"/>
      <c r="N3590"/>
      <c r="O3590"/>
      <c r="P3590"/>
      <c r="Q3590"/>
    </row>
    <row r="3591" spans="1:33" ht="14.25" x14ac:dyDescent="0.2">
      <c r="A3591" s="31">
        <v>450</v>
      </c>
      <c r="B3591" s="31" t="str">
        <f>[1]Source!F4258</f>
        <v>калькуляция</v>
      </c>
      <c r="C3591" s="31" t="str">
        <f>[1]Source!G4258</f>
        <v>Подметание металлической лестницы</v>
      </c>
      <c r="D3591" s="32" t="str">
        <f>[1]Source!H4258</f>
        <v>м2</v>
      </c>
      <c r="E3591" s="4">
        <f>[1]Source!I4258</f>
        <v>29.8</v>
      </c>
      <c r="F3591" s="33"/>
      <c r="G3591" s="34"/>
      <c r="H3591" s="4"/>
      <c r="I3591" s="4"/>
      <c r="J3591" s="33"/>
      <c r="K3591" s="33"/>
      <c r="M3591"/>
      <c r="N3591"/>
      <c r="O3591"/>
      <c r="P3591"/>
      <c r="Q3591"/>
      <c r="AB3591">
        <f>ROUND(([1]Source!BZ4258/100)*ROUND(([1]Source!AF4258*[1]Source!AV4258)*[1]Source!I4258, 2), 2)</f>
        <v>0</v>
      </c>
      <c r="AC3591">
        <f>[1]Source!X4258</f>
        <v>0</v>
      </c>
      <c r="AD3591">
        <f>ROUND(([1]Source!CA4258/100)*ROUND(([1]Source!AF4258*[1]Source!AV4258)*[1]Source!I4258, 2), 2)</f>
        <v>0</v>
      </c>
      <c r="AE3591">
        <f>[1]Source!Y4258</f>
        <v>0</v>
      </c>
      <c r="AF3591">
        <f>ROUND((175/100)*ROUND(([1]Source!AE4258*[1]Source!AV4258)*[1]Source!I4258, 2), 2)</f>
        <v>0</v>
      </c>
      <c r="AG3591">
        <f>ROUND((108/100)*ROUND([1]Source!CS4258*[1]Source!I4258, 2), 2)</f>
        <v>0</v>
      </c>
    </row>
    <row r="3592" spans="1:33" ht="14.25" x14ac:dyDescent="0.2">
      <c r="A3592" s="31"/>
      <c r="B3592" s="31"/>
      <c r="C3592" s="31" t="s">
        <v>34</v>
      </c>
      <c r="D3592" s="32"/>
      <c r="E3592" s="4"/>
      <c r="F3592" s="33">
        <f>[1]Source!AO4258</f>
        <v>4.6100000000000003</v>
      </c>
      <c r="G3592" s="34" t="str">
        <f>[1]Source!DG4258</f>
        <v>)*1*398</v>
      </c>
      <c r="H3592" s="4">
        <f>[1]Source!AV4258</f>
        <v>1</v>
      </c>
      <c r="I3592" s="4">
        <f>IF([1]Source!BA4258&lt;&gt; 0, [1]Source!BA4258, 1)</f>
        <v>1</v>
      </c>
      <c r="J3592" s="33">
        <f>[1]Source!S4258</f>
        <v>54676.44</v>
      </c>
      <c r="K3592" s="33"/>
      <c r="M3592"/>
      <c r="N3592"/>
      <c r="O3592"/>
      <c r="P3592"/>
      <c r="Q3592"/>
    </row>
    <row r="3593" spans="1:33" ht="15" x14ac:dyDescent="0.25">
      <c r="A3593" s="35"/>
      <c r="B3593" s="35"/>
      <c r="C3593" s="35"/>
      <c r="D3593" s="35"/>
      <c r="E3593" s="35"/>
      <c r="F3593" s="35"/>
      <c r="G3593" s="35"/>
      <c r="H3593" s="35"/>
      <c r="I3593" s="36">
        <f>J3592</f>
        <v>54676.44</v>
      </c>
      <c r="J3593" s="36"/>
      <c r="K3593" s="37">
        <f>IF([1]Source!I4258&lt;&gt;0, ROUND(I3593/[1]Source!I4258, 2), 0)</f>
        <v>1834.78</v>
      </c>
      <c r="M3593"/>
      <c r="N3593"/>
      <c r="O3593"/>
      <c r="P3593"/>
      <c r="Q3593"/>
      <c r="AA3593" s="38">
        <f>I3593</f>
        <v>54676.44</v>
      </c>
    </row>
    <row r="3594" spans="1:33" ht="28.5" x14ac:dyDescent="0.2">
      <c r="A3594" s="31">
        <v>451</v>
      </c>
      <c r="B3594" s="31" t="str">
        <f>[1]Source!F4259</f>
        <v>5.3-1101-14-1/1</v>
      </c>
      <c r="C3594" s="31" t="str">
        <f>[1]Source!G4259</f>
        <v>Полив дорожек из шланга вручную( мытье лестницы)</v>
      </c>
      <c r="D3594" s="32" t="str">
        <f>[1]Source!H4259</f>
        <v>100 м2</v>
      </c>
      <c r="E3594" s="4">
        <f>[1]Source!I4259</f>
        <v>0.29799999999999999</v>
      </c>
      <c r="F3594" s="33"/>
      <c r="G3594" s="34"/>
      <c r="H3594" s="4"/>
      <c r="I3594" s="4"/>
      <c r="J3594" s="33"/>
      <c r="K3594" s="33"/>
      <c r="M3594"/>
      <c r="N3594"/>
      <c r="O3594"/>
      <c r="P3594"/>
      <c r="Q3594"/>
      <c r="AB3594">
        <f>ROUND(([1]Source!BZ4259/100)*ROUND(([1]Source!AF4259*[1]Source!AV4259)*[1]Source!I4259, 2), 2)</f>
        <v>80.680000000000007</v>
      </c>
      <c r="AC3594">
        <f>[1]Source!X4259</f>
        <v>80.680000000000007</v>
      </c>
      <c r="AD3594">
        <f>ROUND(([1]Source!CA4259/100)*ROUND(([1]Source!AF4259*[1]Source!AV4259)*[1]Source!I4259, 2), 2)</f>
        <v>11.53</v>
      </c>
      <c r="AE3594">
        <f>[1]Source!Y4259</f>
        <v>11.53</v>
      </c>
      <c r="AF3594">
        <f>ROUND((175/100)*ROUND(([1]Source!AE4259*[1]Source!AV4259)*[1]Source!I4259, 2), 2)</f>
        <v>0</v>
      </c>
      <c r="AG3594">
        <f>ROUND((108/100)*ROUND([1]Source!CS4259*[1]Source!I4259, 2), 2)</f>
        <v>0</v>
      </c>
    </row>
    <row r="3595" spans="1:33" x14ac:dyDescent="0.2">
      <c r="C3595" s="40" t="str">
        <f>"Объем: "&amp;[1]Source!I4259&amp;"=29,8/"&amp;"100"</f>
        <v>Объем: 0,298=29,8/100</v>
      </c>
      <c r="M3595"/>
      <c r="N3595"/>
      <c r="O3595"/>
      <c r="P3595"/>
      <c r="Q3595"/>
    </row>
    <row r="3596" spans="1:33" ht="14.25" x14ac:dyDescent="0.2">
      <c r="A3596" s="31"/>
      <c r="B3596" s="31"/>
      <c r="C3596" s="31" t="s">
        <v>34</v>
      </c>
      <c r="D3596" s="32"/>
      <c r="E3596" s="4"/>
      <c r="F3596" s="33">
        <f>[1]Source!AO4259</f>
        <v>32.229999999999997</v>
      </c>
      <c r="G3596" s="34" t="str">
        <f>[1]Source!DG4259</f>
        <v>)*1*12</v>
      </c>
      <c r="H3596" s="4">
        <f>[1]Source!AV4259</f>
        <v>1</v>
      </c>
      <c r="I3596" s="4">
        <f>IF([1]Source!BA4259&lt;&gt; 0, [1]Source!BA4259, 1)</f>
        <v>1</v>
      </c>
      <c r="J3596" s="33">
        <f>[1]Source!S4259</f>
        <v>115.25</v>
      </c>
      <c r="K3596" s="33"/>
      <c r="M3596"/>
      <c r="N3596"/>
      <c r="O3596"/>
      <c r="P3596"/>
      <c r="Q3596"/>
    </row>
    <row r="3597" spans="1:33" ht="14.25" x14ac:dyDescent="0.2">
      <c r="A3597" s="31"/>
      <c r="B3597" s="31"/>
      <c r="C3597" s="31" t="s">
        <v>47</v>
      </c>
      <c r="D3597" s="32"/>
      <c r="E3597" s="4"/>
      <c r="F3597" s="33">
        <f>[1]Source!AL4259</f>
        <v>4.24</v>
      </c>
      <c r="G3597" s="34" t="str">
        <f>[1]Source!DD4259</f>
        <v>)*1*12</v>
      </c>
      <c r="H3597" s="4">
        <f>[1]Source!AW4259</f>
        <v>1</v>
      </c>
      <c r="I3597" s="4">
        <f>IF([1]Source!BC4259&lt;&gt; 0, [1]Source!BC4259, 1)</f>
        <v>1</v>
      </c>
      <c r="J3597" s="33">
        <f>[1]Source!P4259</f>
        <v>15.16</v>
      </c>
      <c r="K3597" s="33"/>
      <c r="M3597"/>
      <c r="N3597"/>
      <c r="O3597"/>
      <c r="P3597"/>
      <c r="Q3597"/>
    </row>
    <row r="3598" spans="1:33" ht="14.25" x14ac:dyDescent="0.2">
      <c r="A3598" s="31" t="s">
        <v>180</v>
      </c>
      <c r="B3598" s="31" t="str">
        <f>[1]Source!F4260</f>
        <v>21.1-25-13</v>
      </c>
      <c r="C3598" s="31" t="str">
        <f>[1]Source!G4260</f>
        <v>Вода</v>
      </c>
      <c r="D3598" s="32" t="str">
        <f>[1]Source!H4260</f>
        <v>м3</v>
      </c>
      <c r="E3598" s="4">
        <f>[1]Source!I4260</f>
        <v>-0.35759999999999997</v>
      </c>
      <c r="F3598" s="33">
        <f>[1]Source!AK4260</f>
        <v>42.44</v>
      </c>
      <c r="G3598" s="39" t="s">
        <v>134</v>
      </c>
      <c r="H3598" s="4">
        <f>[1]Source!AW4260</f>
        <v>1</v>
      </c>
      <c r="I3598" s="4">
        <f>IF([1]Source!BC4260&lt;&gt; 0, [1]Source!BC4260, 1)</f>
        <v>1</v>
      </c>
      <c r="J3598" s="33">
        <f>[1]Source!O4260</f>
        <v>-15.18</v>
      </c>
      <c r="K3598" s="33"/>
      <c r="M3598"/>
      <c r="N3598"/>
      <c r="O3598"/>
      <c r="P3598"/>
      <c r="Q3598"/>
      <c r="AB3598">
        <f>ROUND(([1]Source!BZ4260/100)*ROUND(([1]Source!AF4260*[1]Source!AV4260)*[1]Source!I4260, 2), 2)</f>
        <v>0</v>
      </c>
      <c r="AC3598">
        <f>[1]Source!X4260</f>
        <v>0</v>
      </c>
      <c r="AD3598">
        <f>ROUND(([1]Source!CA4260/100)*ROUND(([1]Source!AF4260*[1]Source!AV4260)*[1]Source!I4260, 2), 2)</f>
        <v>0</v>
      </c>
      <c r="AE3598">
        <f>[1]Source!Y4260</f>
        <v>0</v>
      </c>
      <c r="AF3598">
        <f>ROUND((175/100)*ROUND(([1]Source!AE4260*[1]Source!AV4260)*[1]Source!I4260, 2), 2)</f>
        <v>0</v>
      </c>
      <c r="AG3598">
        <f>ROUND((108/100)*ROUND([1]Source!CS4260*[1]Source!I4260, 2), 2)</f>
        <v>0</v>
      </c>
    </row>
    <row r="3599" spans="1:33" ht="14.25" x14ac:dyDescent="0.2">
      <c r="A3599" s="31"/>
      <c r="B3599" s="31"/>
      <c r="C3599" s="31" t="s">
        <v>40</v>
      </c>
      <c r="D3599" s="32" t="s">
        <v>39</v>
      </c>
      <c r="E3599" s="4">
        <f>[1]Source!AT4259</f>
        <v>70</v>
      </c>
      <c r="F3599" s="33"/>
      <c r="G3599" s="34"/>
      <c r="H3599" s="4"/>
      <c r="I3599" s="4"/>
      <c r="J3599" s="33">
        <f>SUM(AC3594:AC3598)</f>
        <v>80.680000000000007</v>
      </c>
      <c r="K3599" s="33"/>
      <c r="M3599"/>
      <c r="N3599"/>
      <c r="O3599"/>
      <c r="P3599"/>
      <c r="Q3599"/>
    </row>
    <row r="3600" spans="1:33" ht="14.25" x14ac:dyDescent="0.2">
      <c r="A3600" s="31"/>
      <c r="B3600" s="31"/>
      <c r="C3600" s="31" t="s">
        <v>41</v>
      </c>
      <c r="D3600" s="32" t="s">
        <v>39</v>
      </c>
      <c r="E3600" s="4">
        <f>[1]Source!AU4259</f>
        <v>10</v>
      </c>
      <c r="F3600" s="33"/>
      <c r="G3600" s="34"/>
      <c r="H3600" s="4"/>
      <c r="I3600" s="4"/>
      <c r="J3600" s="33">
        <f>SUM(AE3594:AE3599)</f>
        <v>11.53</v>
      </c>
      <c r="K3600" s="33"/>
      <c r="M3600"/>
      <c r="N3600"/>
      <c r="O3600"/>
      <c r="P3600"/>
      <c r="Q3600"/>
    </row>
    <row r="3601" spans="1:33" ht="14.25" x14ac:dyDescent="0.2">
      <c r="A3601" s="31"/>
      <c r="B3601" s="31"/>
      <c r="C3601" s="31" t="s">
        <v>42</v>
      </c>
      <c r="D3601" s="32" t="s">
        <v>43</v>
      </c>
      <c r="E3601" s="4">
        <f>[1]Source!AQ4259</f>
        <v>0.13</v>
      </c>
      <c r="F3601" s="33"/>
      <c r="G3601" s="34" t="str">
        <f>[1]Source!DI4259</f>
        <v>)*1*12</v>
      </c>
      <c r="H3601" s="4">
        <f>[1]Source!AV4259</f>
        <v>1</v>
      </c>
      <c r="I3601" s="4"/>
      <c r="J3601" s="33"/>
      <c r="K3601" s="33">
        <f>[1]Source!U4259</f>
        <v>0.46488000000000002</v>
      </c>
      <c r="M3601"/>
      <c r="N3601"/>
      <c r="O3601"/>
      <c r="P3601"/>
      <c r="Q3601"/>
    </row>
    <row r="3602" spans="1:33" ht="15" x14ac:dyDescent="0.25">
      <c r="A3602" s="35"/>
      <c r="B3602" s="35"/>
      <c r="C3602" s="35"/>
      <c r="D3602" s="35"/>
      <c r="E3602" s="35"/>
      <c r="F3602" s="35"/>
      <c r="G3602" s="35"/>
      <c r="H3602" s="35"/>
      <c r="I3602" s="36">
        <f>J3596+J3597+J3599+J3600+SUM(J3598:J3598)</f>
        <v>207.44</v>
      </c>
      <c r="J3602" s="36"/>
      <c r="K3602" s="37">
        <f>IF([1]Source!I4259&lt;&gt;0, ROUND(I3602/[1]Source!I4259, 2), 0)</f>
        <v>696.11</v>
      </c>
      <c r="M3602"/>
      <c r="N3602"/>
      <c r="O3602"/>
      <c r="P3602"/>
      <c r="Q3602"/>
      <c r="AA3602" s="38">
        <f>I3602</f>
        <v>207.44</v>
      </c>
    </row>
    <row r="3603" spans="1:33" x14ac:dyDescent="0.2">
      <c r="M3603"/>
      <c r="N3603"/>
      <c r="O3603"/>
      <c r="P3603"/>
      <c r="Q3603"/>
    </row>
    <row r="3604" spans="1:33" ht="15" x14ac:dyDescent="0.25">
      <c r="A3604" s="42" t="str">
        <f>CONCATENATE("Итого по подразделу: ",IF([1]Source!G4262&lt;&gt;"Новый подраздел", [1]Source!G4262, ""))</f>
        <v>Итого по подразделу: Лестница</v>
      </c>
      <c r="B3604" s="42"/>
      <c r="C3604" s="42"/>
      <c r="D3604" s="42"/>
      <c r="E3604" s="42"/>
      <c r="F3604" s="42"/>
      <c r="G3604" s="42"/>
      <c r="H3604" s="42"/>
      <c r="I3604" s="43">
        <f>SUM(AA3590:AA3603)</f>
        <v>54883.880000000005</v>
      </c>
      <c r="J3604" s="44"/>
      <c r="K3604" s="47"/>
      <c r="L3604" s="38">
        <f>I3604</f>
        <v>54883.880000000005</v>
      </c>
      <c r="M3604" s="2">
        <f>ROUND(I3604*$I$4874,2)</f>
        <v>39637.51</v>
      </c>
      <c r="N3604" s="2">
        <f>ROUND(M3604*1.2/105*100,2)</f>
        <v>45300.01</v>
      </c>
      <c r="O3604" s="2">
        <f>ROUND(N3604*0.05,2)</f>
        <v>2265</v>
      </c>
      <c r="P3604" s="2">
        <f>N3604+O3604</f>
        <v>47565.01</v>
      </c>
      <c r="Q3604" s="3">
        <v>117</v>
      </c>
      <c r="S3604" s="2">
        <v>0</v>
      </c>
    </row>
    <row r="3605" spans="1:33" x14ac:dyDescent="0.2">
      <c r="M3605"/>
      <c r="N3605"/>
      <c r="O3605"/>
      <c r="P3605"/>
      <c r="Q3605"/>
    </row>
    <row r="3606" spans="1:33" x14ac:dyDescent="0.2">
      <c r="M3606"/>
      <c r="N3606"/>
      <c r="O3606"/>
      <c r="P3606"/>
      <c r="Q3606"/>
    </row>
    <row r="3607" spans="1:33" ht="15" x14ac:dyDescent="0.25">
      <c r="A3607" s="42" t="str">
        <f>CONCATENATE("Итого по разделу: ",IF([1]Source!G4292&lt;&gt;"Новый раздел", [1]Source!G4292, ""))</f>
        <v>Итого по разделу: Боевой ход Китайгородской стены. (S=1414,76м2)</v>
      </c>
      <c r="B3607" s="42"/>
      <c r="C3607" s="42"/>
      <c r="D3607" s="42"/>
      <c r="E3607" s="42"/>
      <c r="F3607" s="42"/>
      <c r="G3607" s="42"/>
      <c r="H3607" s="42"/>
      <c r="I3607" s="43">
        <f>SUM(AA3576:AA3606)</f>
        <v>406681.56</v>
      </c>
      <c r="J3607" s="44"/>
      <c r="K3607" s="47"/>
      <c r="L3607" s="38">
        <f>I3607</f>
        <v>406681.56</v>
      </c>
      <c r="M3607" s="2">
        <f>M3587+M3604</f>
        <v>293708.2</v>
      </c>
      <c r="N3607" s="2">
        <f>N3587+N3604</f>
        <v>335666.51</v>
      </c>
      <c r="O3607" s="2">
        <f>ROUND(N3607*0.05,2)</f>
        <v>16783.330000000002</v>
      </c>
      <c r="P3607" s="2">
        <f>SUM(P3587:P3604)</f>
        <v>352449.84</v>
      </c>
      <c r="Q3607" s="48"/>
      <c r="R3607">
        <v>2</v>
      </c>
    </row>
    <row r="3608" spans="1:33" x14ac:dyDescent="0.2">
      <c r="M3608"/>
      <c r="N3608"/>
      <c r="O3608"/>
      <c r="P3608"/>
      <c r="Q3608"/>
    </row>
    <row r="3609" spans="1:33" x14ac:dyDescent="0.2">
      <c r="M3609"/>
      <c r="N3609"/>
      <c r="O3609"/>
      <c r="P3609"/>
      <c r="Q3609"/>
    </row>
    <row r="3610" spans="1:33" ht="16.5" x14ac:dyDescent="0.25">
      <c r="A3610" s="29" t="str">
        <f>CONCATENATE("Раздел: ",IF([1]Source!G4322&lt;&gt;"Новый раздел", [1]Source!G4322, ""))</f>
        <v>Раздел: Старый Английский двор</v>
      </c>
      <c r="B3610" s="29"/>
      <c r="C3610" s="29"/>
      <c r="D3610" s="29"/>
      <c r="E3610" s="29"/>
      <c r="F3610" s="29"/>
      <c r="G3610" s="29"/>
      <c r="H3610" s="29"/>
      <c r="I3610" s="29"/>
      <c r="J3610" s="29"/>
      <c r="K3610" s="29"/>
      <c r="M3610"/>
      <c r="N3610"/>
      <c r="O3610"/>
      <c r="P3610"/>
      <c r="Q3610"/>
    </row>
    <row r="3611" spans="1:33" x14ac:dyDescent="0.2">
      <c r="M3611"/>
      <c r="N3611"/>
      <c r="O3611"/>
      <c r="P3611"/>
      <c r="Q3611"/>
    </row>
    <row r="3612" spans="1:33" ht="16.5" x14ac:dyDescent="0.25">
      <c r="A3612" s="29" t="str">
        <f>CONCATENATE("Подраздел: ",IF([1]Source!G4326&lt;&gt;"Новый подраздел", [1]Source!G4326, ""))</f>
        <v>Подраздел: Уход за покрытием</v>
      </c>
      <c r="B3612" s="29"/>
      <c r="C3612" s="29"/>
      <c r="D3612" s="29"/>
      <c r="E3612" s="29"/>
      <c r="F3612" s="29"/>
      <c r="G3612" s="29"/>
      <c r="H3612" s="29"/>
      <c r="I3612" s="29"/>
      <c r="J3612" s="29"/>
      <c r="K3612" s="29"/>
      <c r="M3612"/>
      <c r="N3612"/>
      <c r="O3612"/>
      <c r="P3612"/>
      <c r="Q3612"/>
    </row>
    <row r="3613" spans="1:33" ht="28.5" x14ac:dyDescent="0.2">
      <c r="A3613" s="31">
        <v>452</v>
      </c>
      <c r="B3613" s="31" t="str">
        <f>[1]Source!F4330</f>
        <v>5.3-1101-13-1/1</v>
      </c>
      <c r="C3613" s="31" t="str">
        <f>[1]Source!G4330</f>
        <v>Подметание вручную дорожек и площадок с твердым покрытием</v>
      </c>
      <c r="D3613" s="32" t="str">
        <f>[1]Source!H4330</f>
        <v>100 м2</v>
      </c>
      <c r="E3613" s="4">
        <f>[1]Source!I4330</f>
        <v>5.6150000000000002</v>
      </c>
      <c r="F3613" s="33"/>
      <c r="G3613" s="34"/>
      <c r="H3613" s="4"/>
      <c r="I3613" s="4"/>
      <c r="J3613" s="33"/>
      <c r="K3613" s="33"/>
      <c r="M3613"/>
      <c r="N3613"/>
      <c r="O3613"/>
      <c r="P3613"/>
      <c r="Q3613"/>
      <c r="AB3613">
        <f>ROUND(([1]Source!BZ4330/100)*ROUND(([1]Source!AF4330*[1]Source!AV4330)*[1]Source!I4330, 2), 2)</f>
        <v>162894.62</v>
      </c>
      <c r="AC3613">
        <f>[1]Source!X4330</f>
        <v>162894.62</v>
      </c>
      <c r="AD3613">
        <f>ROUND(([1]Source!CA4330/100)*ROUND(([1]Source!AF4330*[1]Source!AV4330)*[1]Source!I4330, 2), 2)</f>
        <v>23270.66</v>
      </c>
      <c r="AE3613">
        <f>[1]Source!Y4330</f>
        <v>23270.66</v>
      </c>
      <c r="AF3613">
        <f>ROUND((175/100)*ROUND(([1]Source!AE4330*[1]Source!AV4330)*[1]Source!I4330, 2), 2)</f>
        <v>0</v>
      </c>
      <c r="AG3613">
        <f>ROUND((108/100)*ROUND([1]Source!CS4330*[1]Source!I4330, 2), 2)</f>
        <v>0</v>
      </c>
    </row>
    <row r="3614" spans="1:33" x14ac:dyDescent="0.2">
      <c r="C3614" s="40" t="str">
        <f>"Объем: "&amp;[1]Source!I4330&amp;"=561,5/"&amp;"100"</f>
        <v>Объем: 5,615=561,5/100</v>
      </c>
      <c r="M3614"/>
      <c r="N3614"/>
      <c r="O3614"/>
      <c r="P3614"/>
      <c r="Q3614"/>
    </row>
    <row r="3615" spans="1:33" ht="14.25" x14ac:dyDescent="0.2">
      <c r="A3615" s="31"/>
      <c r="B3615" s="31"/>
      <c r="C3615" s="31" t="s">
        <v>34</v>
      </c>
      <c r="D3615" s="32"/>
      <c r="E3615" s="4"/>
      <c r="F3615" s="33">
        <f>[1]Source!AO4330</f>
        <v>34.71</v>
      </c>
      <c r="G3615" s="34" t="str">
        <f>[1]Source!DG4330</f>
        <v>)*3*398</v>
      </c>
      <c r="H3615" s="4">
        <f>[1]Source!AV4330</f>
        <v>1</v>
      </c>
      <c r="I3615" s="4">
        <f>IF([1]Source!BA4330&lt;&gt; 0, [1]Source!BA4330, 1)</f>
        <v>1</v>
      </c>
      <c r="J3615" s="33">
        <f>[1]Source!S4330</f>
        <v>232706.6</v>
      </c>
      <c r="K3615" s="33"/>
      <c r="M3615"/>
      <c r="N3615"/>
      <c r="O3615"/>
      <c r="P3615"/>
      <c r="Q3615"/>
    </row>
    <row r="3616" spans="1:33" ht="14.25" x14ac:dyDescent="0.2">
      <c r="A3616" s="31"/>
      <c r="B3616" s="31"/>
      <c r="C3616" s="31" t="s">
        <v>40</v>
      </c>
      <c r="D3616" s="32" t="s">
        <v>39</v>
      </c>
      <c r="E3616" s="4">
        <f>[1]Source!AT4330</f>
        <v>70</v>
      </c>
      <c r="F3616" s="33"/>
      <c r="G3616" s="34"/>
      <c r="H3616" s="4"/>
      <c r="I3616" s="4"/>
      <c r="J3616" s="33">
        <f>SUM(AC3613:AC3615)</f>
        <v>162894.62</v>
      </c>
      <c r="K3616" s="33"/>
      <c r="M3616"/>
      <c r="N3616"/>
      <c r="O3616"/>
      <c r="P3616"/>
      <c r="Q3616"/>
    </row>
    <row r="3617" spans="1:33" ht="14.25" x14ac:dyDescent="0.2">
      <c r="A3617" s="31"/>
      <c r="B3617" s="31"/>
      <c r="C3617" s="31" t="s">
        <v>41</v>
      </c>
      <c r="D3617" s="32" t="s">
        <v>39</v>
      </c>
      <c r="E3617" s="4">
        <f>[1]Source!AU4330</f>
        <v>10</v>
      </c>
      <c r="F3617" s="33"/>
      <c r="G3617" s="34"/>
      <c r="H3617" s="4"/>
      <c r="I3617" s="4"/>
      <c r="J3617" s="33">
        <f>SUM(AE3613:AE3616)</f>
        <v>23270.66</v>
      </c>
      <c r="K3617" s="33"/>
      <c r="M3617"/>
      <c r="N3617"/>
      <c r="O3617"/>
      <c r="P3617"/>
      <c r="Q3617"/>
    </row>
    <row r="3618" spans="1:33" ht="14.25" x14ac:dyDescent="0.2">
      <c r="A3618" s="31"/>
      <c r="B3618" s="31"/>
      <c r="C3618" s="31" t="s">
        <v>42</v>
      </c>
      <c r="D3618" s="32" t="s">
        <v>43</v>
      </c>
      <c r="E3618" s="4">
        <f>[1]Source!AQ4330</f>
        <v>0.14000000000000001</v>
      </c>
      <c r="F3618" s="33"/>
      <c r="G3618" s="34" t="str">
        <f>[1]Source!DI4330</f>
        <v>)*3*398</v>
      </c>
      <c r="H3618" s="4">
        <f>[1]Source!AV4330</f>
        <v>1</v>
      </c>
      <c r="I3618" s="4"/>
      <c r="J3618" s="33"/>
      <c r="K3618" s="33">
        <f>[1]Source!U4330</f>
        <v>938.60340000000019</v>
      </c>
      <c r="M3618"/>
      <c r="N3618"/>
      <c r="O3618"/>
      <c r="P3618"/>
      <c r="Q3618"/>
    </row>
    <row r="3619" spans="1:33" ht="15" x14ac:dyDescent="0.25">
      <c r="A3619" s="35"/>
      <c r="B3619" s="35"/>
      <c r="C3619" s="35"/>
      <c r="D3619" s="35"/>
      <c r="E3619" s="35"/>
      <c r="F3619" s="35"/>
      <c r="G3619" s="35"/>
      <c r="H3619" s="35"/>
      <c r="I3619" s="36">
        <f>J3615+J3616+J3617</f>
        <v>418871.87999999995</v>
      </c>
      <c r="J3619" s="36"/>
      <c r="K3619" s="37">
        <f>IF([1]Source!I4330&lt;&gt;0, ROUND(I3619/[1]Source!I4330, 2), 0)</f>
        <v>74598.73</v>
      </c>
      <c r="M3619"/>
      <c r="N3619"/>
      <c r="O3619"/>
      <c r="P3619"/>
      <c r="Q3619"/>
      <c r="AA3619" s="38">
        <f>I3619</f>
        <v>418871.87999999995</v>
      </c>
    </row>
    <row r="3620" spans="1:33" ht="14.25" x14ac:dyDescent="0.2">
      <c r="A3620" s="31">
        <v>453</v>
      </c>
      <c r="B3620" s="31" t="str">
        <f>[1]Source!F4331</f>
        <v>5.3-1101-14-1/1</v>
      </c>
      <c r="C3620" s="31" t="str">
        <f>[1]Source!G4331</f>
        <v>Полив дорожек из шланга вручную</v>
      </c>
      <c r="D3620" s="32" t="str">
        <f>[1]Source!H4331</f>
        <v>100 м2</v>
      </c>
      <c r="E3620" s="4">
        <f>[1]Source!I4331</f>
        <v>5.6150000000000002</v>
      </c>
      <c r="F3620" s="33"/>
      <c r="G3620" s="34"/>
      <c r="H3620" s="4"/>
      <c r="I3620" s="4"/>
      <c r="J3620" s="33"/>
      <c r="K3620" s="33"/>
      <c r="M3620"/>
      <c r="N3620"/>
      <c r="O3620"/>
      <c r="P3620"/>
      <c r="Q3620"/>
      <c r="AB3620">
        <f>ROUND(([1]Source!BZ4331/100)*ROUND(([1]Source!AF4331*[1]Source!AV4331)*[1]Source!I4331, 2), 2)</f>
        <v>22802.400000000001</v>
      </c>
      <c r="AC3620">
        <f>[1]Source!X4331</f>
        <v>22802.400000000001</v>
      </c>
      <c r="AD3620">
        <f>ROUND(([1]Source!CA4331/100)*ROUND(([1]Source!AF4331*[1]Source!AV4331)*[1]Source!I4331, 2), 2)</f>
        <v>3257.49</v>
      </c>
      <c r="AE3620">
        <f>[1]Source!Y4331</f>
        <v>3257.49</v>
      </c>
      <c r="AF3620">
        <f>ROUND((175/100)*ROUND(([1]Source!AE4331*[1]Source!AV4331)*[1]Source!I4331, 2), 2)</f>
        <v>0</v>
      </c>
      <c r="AG3620">
        <f>ROUND((108/100)*ROUND([1]Source!CS4331*[1]Source!I4331, 2), 2)</f>
        <v>0</v>
      </c>
    </row>
    <row r="3621" spans="1:33" x14ac:dyDescent="0.2">
      <c r="C3621" s="40" t="str">
        <f>"Объем: "&amp;[1]Source!I4331&amp;"=561,5/"&amp;"100"</f>
        <v>Объем: 5,615=561,5/100</v>
      </c>
      <c r="M3621"/>
      <c r="N3621"/>
      <c r="O3621"/>
      <c r="P3621"/>
      <c r="Q3621"/>
    </row>
    <row r="3622" spans="1:33" ht="14.25" x14ac:dyDescent="0.2">
      <c r="A3622" s="31"/>
      <c r="B3622" s="31"/>
      <c r="C3622" s="31" t="s">
        <v>34</v>
      </c>
      <c r="D3622" s="32"/>
      <c r="E3622" s="4"/>
      <c r="F3622" s="33">
        <f>[1]Source!AO4331</f>
        <v>32.229999999999997</v>
      </c>
      <c r="G3622" s="34" t="str">
        <f>[1]Source!DG4331</f>
        <v>)*2*90</v>
      </c>
      <c r="H3622" s="4">
        <f>[1]Source!AV4331</f>
        <v>1</v>
      </c>
      <c r="I3622" s="4">
        <f>IF([1]Source!BA4331&lt;&gt; 0, [1]Source!BA4331, 1)</f>
        <v>1</v>
      </c>
      <c r="J3622" s="33">
        <f>[1]Source!S4331</f>
        <v>32574.86</v>
      </c>
      <c r="K3622" s="33"/>
      <c r="M3622"/>
      <c r="N3622"/>
      <c r="O3622"/>
      <c r="P3622"/>
      <c r="Q3622"/>
    </row>
    <row r="3623" spans="1:33" ht="14.25" x14ac:dyDescent="0.2">
      <c r="A3623" s="31"/>
      <c r="B3623" s="31"/>
      <c r="C3623" s="31" t="s">
        <v>47</v>
      </c>
      <c r="D3623" s="32"/>
      <c r="E3623" s="4"/>
      <c r="F3623" s="33">
        <f>[1]Source!AL4331</f>
        <v>4.24</v>
      </c>
      <c r="G3623" s="34" t="str">
        <f>[1]Source!DD4331</f>
        <v>)*2*90</v>
      </c>
      <c r="H3623" s="4">
        <f>[1]Source!AW4331</f>
        <v>1</v>
      </c>
      <c r="I3623" s="4">
        <f>IF([1]Source!BC4331&lt;&gt; 0, [1]Source!BC4331, 1)</f>
        <v>1</v>
      </c>
      <c r="J3623" s="33">
        <f>[1]Source!P4331</f>
        <v>4285.37</v>
      </c>
      <c r="K3623" s="33"/>
      <c r="M3623"/>
      <c r="N3623"/>
      <c r="O3623"/>
      <c r="P3623"/>
      <c r="Q3623"/>
    </row>
    <row r="3624" spans="1:33" ht="14.25" x14ac:dyDescent="0.2">
      <c r="A3624" s="31" t="s">
        <v>181</v>
      </c>
      <c r="B3624" s="31" t="str">
        <f>[1]Source!F4332</f>
        <v>21.1-25-13</v>
      </c>
      <c r="C3624" s="31" t="str">
        <f>[1]Source!G4332</f>
        <v>Вода</v>
      </c>
      <c r="D3624" s="32" t="str">
        <f>[1]Source!H4332</f>
        <v>м3</v>
      </c>
      <c r="E3624" s="4">
        <f>[1]Source!I4332</f>
        <v>-101.06999999999998</v>
      </c>
      <c r="F3624" s="33">
        <f>[1]Source!AK4332</f>
        <v>42.44</v>
      </c>
      <c r="G3624" s="39" t="s">
        <v>104</v>
      </c>
      <c r="H3624" s="4">
        <f>[1]Source!AW4332</f>
        <v>1</v>
      </c>
      <c r="I3624" s="4">
        <f>IF([1]Source!BC4332&lt;&gt; 0, [1]Source!BC4332, 1)</f>
        <v>1</v>
      </c>
      <c r="J3624" s="33">
        <f>[1]Source!O4332</f>
        <v>-4289.41</v>
      </c>
      <c r="K3624" s="33"/>
      <c r="M3624"/>
      <c r="N3624"/>
      <c r="O3624"/>
      <c r="P3624"/>
      <c r="Q3624"/>
      <c r="AB3624">
        <f>ROUND(([1]Source!BZ4332/100)*ROUND(([1]Source!AF4332*[1]Source!AV4332)*[1]Source!I4332, 2), 2)</f>
        <v>0</v>
      </c>
      <c r="AC3624">
        <f>[1]Source!X4332</f>
        <v>0</v>
      </c>
      <c r="AD3624">
        <f>ROUND(([1]Source!CA4332/100)*ROUND(([1]Source!AF4332*[1]Source!AV4332)*[1]Source!I4332, 2), 2)</f>
        <v>0</v>
      </c>
      <c r="AE3624">
        <f>[1]Source!Y4332</f>
        <v>0</v>
      </c>
      <c r="AF3624">
        <f>ROUND((175/100)*ROUND(([1]Source!AE4332*[1]Source!AV4332)*[1]Source!I4332, 2), 2)</f>
        <v>0</v>
      </c>
      <c r="AG3624">
        <f>ROUND((108/100)*ROUND([1]Source!CS4332*[1]Source!I4332, 2), 2)</f>
        <v>0</v>
      </c>
    </row>
    <row r="3625" spans="1:33" ht="14.25" x14ac:dyDescent="0.2">
      <c r="A3625" s="31"/>
      <c r="B3625" s="31"/>
      <c r="C3625" s="31" t="s">
        <v>40</v>
      </c>
      <c r="D3625" s="32" t="s">
        <v>39</v>
      </c>
      <c r="E3625" s="4">
        <f>[1]Source!AT4331</f>
        <v>70</v>
      </c>
      <c r="F3625" s="33"/>
      <c r="G3625" s="34"/>
      <c r="H3625" s="4"/>
      <c r="I3625" s="4"/>
      <c r="J3625" s="33">
        <f>SUM(AC3620:AC3624)</f>
        <v>22802.400000000001</v>
      </c>
      <c r="K3625" s="33"/>
      <c r="M3625"/>
      <c r="N3625"/>
      <c r="O3625"/>
      <c r="P3625"/>
      <c r="Q3625"/>
    </row>
    <row r="3626" spans="1:33" ht="14.25" x14ac:dyDescent="0.2">
      <c r="A3626" s="31"/>
      <c r="B3626" s="31"/>
      <c r="C3626" s="31" t="s">
        <v>41</v>
      </c>
      <c r="D3626" s="32" t="s">
        <v>39</v>
      </c>
      <c r="E3626" s="4">
        <f>[1]Source!AU4331</f>
        <v>10</v>
      </c>
      <c r="F3626" s="33"/>
      <c r="G3626" s="34"/>
      <c r="H3626" s="4"/>
      <c r="I3626" s="4"/>
      <c r="J3626" s="33">
        <f>SUM(AE3620:AE3625)</f>
        <v>3257.49</v>
      </c>
      <c r="K3626" s="33"/>
      <c r="M3626"/>
      <c r="N3626"/>
      <c r="O3626"/>
      <c r="P3626"/>
      <c r="Q3626"/>
    </row>
    <row r="3627" spans="1:33" ht="14.25" x14ac:dyDescent="0.2">
      <c r="A3627" s="31"/>
      <c r="B3627" s="31"/>
      <c r="C3627" s="31" t="s">
        <v>42</v>
      </c>
      <c r="D3627" s="32" t="s">
        <v>43</v>
      </c>
      <c r="E3627" s="4">
        <f>[1]Source!AQ4331</f>
        <v>0.13</v>
      </c>
      <c r="F3627" s="33"/>
      <c r="G3627" s="34" t="str">
        <f>[1]Source!DI4331</f>
        <v>)*2*90</v>
      </c>
      <c r="H3627" s="4">
        <f>[1]Source!AV4331</f>
        <v>1</v>
      </c>
      <c r="I3627" s="4"/>
      <c r="J3627" s="33"/>
      <c r="K3627" s="33">
        <f>[1]Source!U4331</f>
        <v>131.39100000000002</v>
      </c>
      <c r="M3627"/>
      <c r="N3627"/>
      <c r="O3627"/>
      <c r="P3627"/>
      <c r="Q3627"/>
    </row>
    <row r="3628" spans="1:33" ht="15" x14ac:dyDescent="0.25">
      <c r="A3628" s="35"/>
      <c r="B3628" s="35"/>
      <c r="C3628" s="35"/>
      <c r="D3628" s="35"/>
      <c r="E3628" s="35"/>
      <c r="F3628" s="35"/>
      <c r="G3628" s="35"/>
      <c r="H3628" s="35"/>
      <c r="I3628" s="36">
        <f>J3622+J3623+J3625+J3626+SUM(J3624:J3624)</f>
        <v>58630.710000000006</v>
      </c>
      <c r="J3628" s="36"/>
      <c r="K3628" s="37">
        <f>IF([1]Source!I4331&lt;&gt;0, ROUND(I3628/[1]Source!I4331, 2), 0)</f>
        <v>10441.799999999999</v>
      </c>
      <c r="M3628"/>
      <c r="N3628"/>
      <c r="O3628"/>
      <c r="P3628"/>
      <c r="Q3628"/>
      <c r="AA3628" s="38">
        <f>I3628</f>
        <v>58630.710000000006</v>
      </c>
    </row>
    <row r="3629" spans="1:33" x14ac:dyDescent="0.2">
      <c r="M3629"/>
      <c r="N3629"/>
      <c r="O3629"/>
      <c r="P3629"/>
      <c r="Q3629"/>
    </row>
    <row r="3630" spans="1:33" ht="15" x14ac:dyDescent="0.25">
      <c r="A3630" s="42" t="str">
        <f>CONCATENATE("Итого по подразделу: ",IF([1]Source!G4334&lt;&gt;"Новый подраздел", [1]Source!G4334, ""))</f>
        <v>Итого по подразделу: Уход за покрытием</v>
      </c>
      <c r="B3630" s="42"/>
      <c r="C3630" s="42"/>
      <c r="D3630" s="42"/>
      <c r="E3630" s="42"/>
      <c r="F3630" s="42"/>
      <c r="G3630" s="42"/>
      <c r="H3630" s="42"/>
      <c r="I3630" s="43">
        <f>SUM(AA3612:AA3629)</f>
        <v>477502.58999999997</v>
      </c>
      <c r="J3630" s="44"/>
      <c r="K3630" s="47"/>
      <c r="L3630" s="38">
        <f>I3630</f>
        <v>477502.58999999997</v>
      </c>
      <c r="M3630" s="2">
        <f>ROUND(I3630*$I$4874,2)</f>
        <v>344855.64</v>
      </c>
      <c r="N3630" s="2">
        <f>ROUND(M3630*1.2/105*100,2)</f>
        <v>394120.73</v>
      </c>
      <c r="O3630" s="2">
        <f>ROUND(N3630*0.05,2)</f>
        <v>19706.04</v>
      </c>
      <c r="P3630" s="2">
        <f>N3630+O3630</f>
        <v>413826.76999999996</v>
      </c>
      <c r="Q3630" s="3">
        <v>118</v>
      </c>
      <c r="S3630" s="2">
        <v>0</v>
      </c>
    </row>
    <row r="3631" spans="1:33" x14ac:dyDescent="0.2">
      <c r="M3631"/>
      <c r="N3631"/>
      <c r="O3631"/>
      <c r="P3631"/>
      <c r="Q3631"/>
    </row>
    <row r="3632" spans="1:33" x14ac:dyDescent="0.2">
      <c r="M3632"/>
      <c r="N3632"/>
      <c r="O3632"/>
      <c r="P3632"/>
      <c r="Q3632"/>
    </row>
    <row r="3633" spans="1:33" ht="16.5" x14ac:dyDescent="0.25">
      <c r="A3633" s="29" t="str">
        <f>CONCATENATE("Подраздел: ",IF([1]Source!G4364&lt;&gt;"Новый подраздел", [1]Source!G4364, ""))</f>
        <v>Подраздел: Лестница с крыльцом</v>
      </c>
      <c r="B3633" s="29"/>
      <c r="C3633" s="29"/>
      <c r="D3633" s="29"/>
      <c r="E3633" s="29"/>
      <c r="F3633" s="29"/>
      <c r="G3633" s="29"/>
      <c r="H3633" s="29"/>
      <c r="I3633" s="29"/>
      <c r="J3633" s="29"/>
      <c r="K3633" s="29"/>
      <c r="M3633"/>
      <c r="N3633"/>
      <c r="O3633"/>
      <c r="P3633"/>
      <c r="Q3633"/>
    </row>
    <row r="3634" spans="1:33" ht="28.5" x14ac:dyDescent="0.2">
      <c r="A3634" s="31">
        <v>454</v>
      </c>
      <c r="B3634" s="31" t="str">
        <f>[1]Source!F4368</f>
        <v>5.3-1101-13-1/1</v>
      </c>
      <c r="C3634" s="31" t="str">
        <f>[1]Source!G4368</f>
        <v>Подметание вручную дорожек и площадок с твердым покрытием</v>
      </c>
      <c r="D3634" s="32" t="str">
        <f>[1]Source!H4368</f>
        <v>100 м2</v>
      </c>
      <c r="E3634" s="4">
        <f>[1]Source!I4368</f>
        <v>0.29570000000000002</v>
      </c>
      <c r="F3634" s="33"/>
      <c r="G3634" s="34"/>
      <c r="H3634" s="4"/>
      <c r="I3634" s="4"/>
      <c r="J3634" s="33"/>
      <c r="K3634" s="33"/>
      <c r="M3634"/>
      <c r="N3634"/>
      <c r="O3634"/>
      <c r="P3634"/>
      <c r="Q3634"/>
      <c r="AB3634">
        <f>ROUND(([1]Source!BZ4368/100)*ROUND(([1]Source!AF4368*[1]Source!AV4368)*[1]Source!I4368, 2), 2)</f>
        <v>5718.96</v>
      </c>
      <c r="AC3634">
        <f>[1]Source!X4368</f>
        <v>5718.96</v>
      </c>
      <c r="AD3634">
        <f>ROUND(([1]Source!CA4368/100)*ROUND(([1]Source!AF4368*[1]Source!AV4368)*[1]Source!I4368, 2), 2)</f>
        <v>816.99</v>
      </c>
      <c r="AE3634">
        <f>[1]Source!Y4368</f>
        <v>816.99</v>
      </c>
      <c r="AF3634">
        <f>ROUND((175/100)*ROUND(([1]Source!AE4368*[1]Source!AV4368)*[1]Source!I4368, 2), 2)</f>
        <v>0</v>
      </c>
      <c r="AG3634">
        <f>ROUND((108/100)*ROUND([1]Source!CS4368*[1]Source!I4368, 2), 2)</f>
        <v>0</v>
      </c>
    </row>
    <row r="3635" spans="1:33" x14ac:dyDescent="0.2">
      <c r="C3635" s="40" t="str">
        <f>"Объем: "&amp;[1]Source!I4368&amp;"=29,57/"&amp;"100"</f>
        <v>Объем: 0,2957=29,57/100</v>
      </c>
      <c r="M3635"/>
      <c r="N3635"/>
      <c r="O3635"/>
      <c r="P3635"/>
      <c r="Q3635"/>
    </row>
    <row r="3636" spans="1:33" ht="14.25" x14ac:dyDescent="0.2">
      <c r="A3636" s="31"/>
      <c r="B3636" s="31"/>
      <c r="C3636" s="31" t="s">
        <v>34</v>
      </c>
      <c r="D3636" s="32"/>
      <c r="E3636" s="4"/>
      <c r="F3636" s="33">
        <f>[1]Source!AO4368</f>
        <v>34.71</v>
      </c>
      <c r="G3636" s="34" t="str">
        <f>[1]Source!DG4368</f>
        <v>)*2*398</v>
      </c>
      <c r="H3636" s="4">
        <f>[1]Source!AV4368</f>
        <v>1</v>
      </c>
      <c r="I3636" s="4">
        <f>IF([1]Source!BA4368&lt;&gt; 0, [1]Source!BA4368, 1)</f>
        <v>1</v>
      </c>
      <c r="J3636" s="33">
        <f>[1]Source!S4368</f>
        <v>8169.94</v>
      </c>
      <c r="K3636" s="33"/>
      <c r="M3636"/>
      <c r="N3636"/>
      <c r="O3636"/>
      <c r="P3636"/>
      <c r="Q3636"/>
    </row>
    <row r="3637" spans="1:33" ht="14.25" x14ac:dyDescent="0.2">
      <c r="A3637" s="31"/>
      <c r="B3637" s="31"/>
      <c r="C3637" s="31" t="s">
        <v>40</v>
      </c>
      <c r="D3637" s="32" t="s">
        <v>39</v>
      </c>
      <c r="E3637" s="4">
        <f>[1]Source!AT4368</f>
        <v>70</v>
      </c>
      <c r="F3637" s="33"/>
      <c r="G3637" s="34"/>
      <c r="H3637" s="4"/>
      <c r="I3637" s="4"/>
      <c r="J3637" s="33">
        <f>SUM(AC3634:AC3636)</f>
        <v>5718.96</v>
      </c>
      <c r="K3637" s="33"/>
      <c r="M3637"/>
      <c r="N3637"/>
      <c r="O3637"/>
      <c r="P3637"/>
      <c r="Q3637"/>
    </row>
    <row r="3638" spans="1:33" ht="14.25" x14ac:dyDescent="0.2">
      <c r="A3638" s="31"/>
      <c r="B3638" s="31"/>
      <c r="C3638" s="31" t="s">
        <v>41</v>
      </c>
      <c r="D3638" s="32" t="s">
        <v>39</v>
      </c>
      <c r="E3638" s="4">
        <f>[1]Source!AU4368</f>
        <v>10</v>
      </c>
      <c r="F3638" s="33"/>
      <c r="G3638" s="34"/>
      <c r="H3638" s="4"/>
      <c r="I3638" s="4"/>
      <c r="J3638" s="33">
        <f>SUM(AE3634:AE3637)</f>
        <v>816.99</v>
      </c>
      <c r="K3638" s="33"/>
      <c r="M3638"/>
      <c r="N3638"/>
      <c r="O3638"/>
      <c r="P3638"/>
      <c r="Q3638"/>
    </row>
    <row r="3639" spans="1:33" ht="14.25" x14ac:dyDescent="0.2">
      <c r="A3639" s="31"/>
      <c r="B3639" s="31"/>
      <c r="C3639" s="31" t="s">
        <v>42</v>
      </c>
      <c r="D3639" s="32" t="s">
        <v>43</v>
      </c>
      <c r="E3639" s="4">
        <f>[1]Source!AQ4368</f>
        <v>0.14000000000000001</v>
      </c>
      <c r="F3639" s="33"/>
      <c r="G3639" s="34" t="str">
        <f>[1]Source!DI4368</f>
        <v>)*2*398</v>
      </c>
      <c r="H3639" s="4">
        <f>[1]Source!AV4368</f>
        <v>1</v>
      </c>
      <c r="I3639" s="4"/>
      <c r="J3639" s="33"/>
      <c r="K3639" s="33">
        <f>[1]Source!U4368</f>
        <v>32.952808000000005</v>
      </c>
      <c r="M3639"/>
      <c r="N3639"/>
      <c r="O3639"/>
      <c r="P3639"/>
      <c r="Q3639"/>
    </row>
    <row r="3640" spans="1:33" ht="15" x14ac:dyDescent="0.25">
      <c r="A3640" s="35"/>
      <c r="B3640" s="35"/>
      <c r="C3640" s="35"/>
      <c r="D3640" s="35"/>
      <c r="E3640" s="35"/>
      <c r="F3640" s="35"/>
      <c r="G3640" s="35"/>
      <c r="H3640" s="35"/>
      <c r="I3640" s="36">
        <f>J3636+J3637+J3638</f>
        <v>14705.89</v>
      </c>
      <c r="J3640" s="36"/>
      <c r="K3640" s="37">
        <f>IF([1]Source!I4368&lt;&gt;0, ROUND(I3640/[1]Source!I4368, 2), 0)</f>
        <v>49732.47</v>
      </c>
      <c r="M3640"/>
      <c r="N3640"/>
      <c r="O3640"/>
      <c r="P3640"/>
      <c r="Q3640"/>
      <c r="AA3640" s="38">
        <f>I3640</f>
        <v>14705.89</v>
      </c>
    </row>
    <row r="3641" spans="1:33" ht="28.5" x14ac:dyDescent="0.2">
      <c r="A3641" s="31">
        <v>455</v>
      </c>
      <c r="B3641" s="31" t="str">
        <f>[1]Source!F4369</f>
        <v>5.3-1101-14-1/1</v>
      </c>
      <c r="C3641" s="31" t="str">
        <f>[1]Source!G4369</f>
        <v>Полив дорожек из шланга вручную( промывка пролета)</v>
      </c>
      <c r="D3641" s="32" t="str">
        <f>[1]Source!H4369</f>
        <v>100 м2</v>
      </c>
      <c r="E3641" s="4">
        <f>[1]Source!I4369</f>
        <v>0.29570000000000002</v>
      </c>
      <c r="F3641" s="33"/>
      <c r="G3641" s="34"/>
      <c r="H3641" s="4"/>
      <c r="I3641" s="4"/>
      <c r="J3641" s="33"/>
      <c r="K3641" s="33"/>
      <c r="M3641"/>
      <c r="N3641"/>
      <c r="O3641"/>
      <c r="P3641"/>
      <c r="Q3641"/>
      <c r="AB3641">
        <f>ROUND(([1]Source!BZ4369/100)*ROUND(([1]Source!AF4369*[1]Source!AV4369)*[1]Source!I4369, 2), 2)</f>
        <v>386.93</v>
      </c>
      <c r="AC3641">
        <f>[1]Source!X4369</f>
        <v>386.93</v>
      </c>
      <c r="AD3641">
        <f>ROUND(([1]Source!CA4369/100)*ROUND(([1]Source!AF4369*[1]Source!AV4369)*[1]Source!I4369, 2), 2)</f>
        <v>55.28</v>
      </c>
      <c r="AE3641">
        <f>[1]Source!Y4369</f>
        <v>55.28</v>
      </c>
      <c r="AF3641">
        <f>ROUND((175/100)*ROUND(([1]Source!AE4369*[1]Source!AV4369)*[1]Source!I4369, 2), 2)</f>
        <v>0</v>
      </c>
      <c r="AG3641">
        <f>ROUND((108/100)*ROUND([1]Source!CS4369*[1]Source!I4369, 2), 2)</f>
        <v>0</v>
      </c>
    </row>
    <row r="3642" spans="1:33" x14ac:dyDescent="0.2">
      <c r="C3642" s="40" t="str">
        <f>"Объем: "&amp;[1]Source!I4369&amp;"=29,57/"&amp;"100"</f>
        <v>Объем: 0,2957=29,57/100</v>
      </c>
      <c r="M3642"/>
      <c r="N3642"/>
      <c r="O3642"/>
      <c r="P3642"/>
      <c r="Q3642"/>
    </row>
    <row r="3643" spans="1:33" ht="14.25" x14ac:dyDescent="0.2">
      <c r="A3643" s="31"/>
      <c r="B3643" s="31"/>
      <c r="C3643" s="31" t="s">
        <v>34</v>
      </c>
      <c r="D3643" s="32"/>
      <c r="E3643" s="4"/>
      <c r="F3643" s="33">
        <f>[1]Source!AO4369</f>
        <v>32.229999999999997</v>
      </c>
      <c r="G3643" s="34" t="str">
        <f>[1]Source!DG4369</f>
        <v>)*1*58</v>
      </c>
      <c r="H3643" s="4">
        <f>[1]Source!AV4369</f>
        <v>1</v>
      </c>
      <c r="I3643" s="4">
        <f>IF([1]Source!BA4369&lt;&gt; 0, [1]Source!BA4369, 1)</f>
        <v>1</v>
      </c>
      <c r="J3643" s="33">
        <f>[1]Source!S4369</f>
        <v>552.76</v>
      </c>
      <c r="K3643" s="33"/>
      <c r="M3643"/>
      <c r="N3643"/>
      <c r="O3643"/>
      <c r="P3643"/>
      <c r="Q3643"/>
    </row>
    <row r="3644" spans="1:33" ht="14.25" x14ac:dyDescent="0.2">
      <c r="A3644" s="31"/>
      <c r="B3644" s="31"/>
      <c r="C3644" s="31" t="s">
        <v>47</v>
      </c>
      <c r="D3644" s="32"/>
      <c r="E3644" s="4"/>
      <c r="F3644" s="33">
        <f>[1]Source!AL4369</f>
        <v>4.24</v>
      </c>
      <c r="G3644" s="34" t="str">
        <f>[1]Source!DD4369</f>
        <v>)*1*58</v>
      </c>
      <c r="H3644" s="4">
        <f>[1]Source!AW4369</f>
        <v>1</v>
      </c>
      <c r="I3644" s="4">
        <f>IF([1]Source!BC4369&lt;&gt; 0, [1]Source!BC4369, 1)</f>
        <v>1</v>
      </c>
      <c r="J3644" s="33">
        <f>[1]Source!P4369</f>
        <v>72.72</v>
      </c>
      <c r="K3644" s="33"/>
      <c r="M3644"/>
      <c r="N3644"/>
      <c r="O3644"/>
      <c r="P3644"/>
      <c r="Q3644"/>
    </row>
    <row r="3645" spans="1:33" ht="14.25" x14ac:dyDescent="0.2">
      <c r="A3645" s="31" t="s">
        <v>182</v>
      </c>
      <c r="B3645" s="31" t="str">
        <f>[1]Source!F4370</f>
        <v>21.1-25-13</v>
      </c>
      <c r="C3645" s="31" t="str">
        <f>[1]Source!G4370</f>
        <v>Вода</v>
      </c>
      <c r="D3645" s="32" t="str">
        <f>[1]Source!H4370</f>
        <v>м3</v>
      </c>
      <c r="E3645" s="4">
        <f>[1]Source!I4370</f>
        <v>-1.71506</v>
      </c>
      <c r="F3645" s="33">
        <f>[1]Source!AK4370</f>
        <v>42.44</v>
      </c>
      <c r="G3645" s="39" t="s">
        <v>121</v>
      </c>
      <c r="H3645" s="4">
        <f>[1]Source!AW4370</f>
        <v>1</v>
      </c>
      <c r="I3645" s="4">
        <f>IF([1]Source!BC4370&lt;&gt; 0, [1]Source!BC4370, 1)</f>
        <v>1</v>
      </c>
      <c r="J3645" s="33">
        <f>[1]Source!O4370</f>
        <v>-72.790000000000006</v>
      </c>
      <c r="K3645" s="33"/>
      <c r="M3645"/>
      <c r="N3645"/>
      <c r="O3645"/>
      <c r="P3645"/>
      <c r="Q3645"/>
      <c r="AB3645">
        <f>ROUND(([1]Source!BZ4370/100)*ROUND(([1]Source!AF4370*[1]Source!AV4370)*[1]Source!I4370, 2), 2)</f>
        <v>0</v>
      </c>
      <c r="AC3645">
        <f>[1]Source!X4370</f>
        <v>0</v>
      </c>
      <c r="AD3645">
        <f>ROUND(([1]Source!CA4370/100)*ROUND(([1]Source!AF4370*[1]Source!AV4370)*[1]Source!I4370, 2), 2)</f>
        <v>0</v>
      </c>
      <c r="AE3645">
        <f>[1]Source!Y4370</f>
        <v>0</v>
      </c>
      <c r="AF3645">
        <f>ROUND((175/100)*ROUND(([1]Source!AE4370*[1]Source!AV4370)*[1]Source!I4370, 2), 2)</f>
        <v>0</v>
      </c>
      <c r="AG3645">
        <f>ROUND((108/100)*ROUND([1]Source!CS4370*[1]Source!I4370, 2), 2)</f>
        <v>0</v>
      </c>
    </row>
    <row r="3646" spans="1:33" ht="14.25" x14ac:dyDescent="0.2">
      <c r="A3646" s="31"/>
      <c r="B3646" s="31"/>
      <c r="C3646" s="31" t="s">
        <v>40</v>
      </c>
      <c r="D3646" s="32" t="s">
        <v>39</v>
      </c>
      <c r="E3646" s="4">
        <f>[1]Source!AT4369</f>
        <v>70</v>
      </c>
      <c r="F3646" s="33"/>
      <c r="G3646" s="34"/>
      <c r="H3646" s="4"/>
      <c r="I3646" s="4"/>
      <c r="J3646" s="33">
        <f>SUM(AC3641:AC3645)</f>
        <v>386.93</v>
      </c>
      <c r="K3646" s="33"/>
      <c r="M3646"/>
      <c r="N3646"/>
      <c r="O3646"/>
      <c r="P3646"/>
      <c r="Q3646"/>
    </row>
    <row r="3647" spans="1:33" ht="14.25" x14ac:dyDescent="0.2">
      <c r="A3647" s="31"/>
      <c r="B3647" s="31"/>
      <c r="C3647" s="31" t="s">
        <v>41</v>
      </c>
      <c r="D3647" s="32" t="s">
        <v>39</v>
      </c>
      <c r="E3647" s="4">
        <f>[1]Source!AU4369</f>
        <v>10</v>
      </c>
      <c r="F3647" s="33"/>
      <c r="G3647" s="34"/>
      <c r="H3647" s="4"/>
      <c r="I3647" s="4"/>
      <c r="J3647" s="33">
        <f>SUM(AE3641:AE3646)</f>
        <v>55.28</v>
      </c>
      <c r="K3647" s="33"/>
      <c r="M3647"/>
      <c r="N3647"/>
      <c r="O3647"/>
      <c r="P3647"/>
      <c r="Q3647"/>
    </row>
    <row r="3648" spans="1:33" ht="14.25" x14ac:dyDescent="0.2">
      <c r="A3648" s="31"/>
      <c r="B3648" s="31"/>
      <c r="C3648" s="31" t="s">
        <v>42</v>
      </c>
      <c r="D3648" s="32" t="s">
        <v>43</v>
      </c>
      <c r="E3648" s="4">
        <f>[1]Source!AQ4369</f>
        <v>0.13</v>
      </c>
      <c r="F3648" s="33"/>
      <c r="G3648" s="34" t="str">
        <f>[1]Source!DI4369</f>
        <v>)*1*58</v>
      </c>
      <c r="H3648" s="4">
        <f>[1]Source!AV4369</f>
        <v>1</v>
      </c>
      <c r="I3648" s="4"/>
      <c r="J3648" s="33"/>
      <c r="K3648" s="33">
        <f>[1]Source!U4369</f>
        <v>2.2295780000000001</v>
      </c>
      <c r="M3648"/>
      <c r="N3648"/>
      <c r="O3648"/>
      <c r="P3648"/>
      <c r="Q3648"/>
    </row>
    <row r="3649" spans="1:33" ht="15" x14ac:dyDescent="0.25">
      <c r="A3649" s="35"/>
      <c r="B3649" s="35"/>
      <c r="C3649" s="35"/>
      <c r="D3649" s="35"/>
      <c r="E3649" s="35"/>
      <c r="F3649" s="35"/>
      <c r="G3649" s="35"/>
      <c r="H3649" s="35"/>
      <c r="I3649" s="36">
        <f>J3643+J3644+J3646+J3647+SUM(J3645:J3645)</f>
        <v>994.90000000000009</v>
      </c>
      <c r="J3649" s="36"/>
      <c r="K3649" s="37">
        <f>IF([1]Source!I4369&lt;&gt;0, ROUND(I3649/[1]Source!I4369, 2), 0)</f>
        <v>3364.56</v>
      </c>
      <c r="M3649"/>
      <c r="N3649"/>
      <c r="O3649"/>
      <c r="P3649"/>
      <c r="Q3649"/>
      <c r="AA3649" s="38">
        <f>I3649</f>
        <v>994.90000000000009</v>
      </c>
    </row>
    <row r="3650" spans="1:33" x14ac:dyDescent="0.2">
      <c r="M3650"/>
      <c r="N3650"/>
      <c r="O3650"/>
      <c r="P3650"/>
      <c r="Q3650"/>
    </row>
    <row r="3651" spans="1:33" ht="15" x14ac:dyDescent="0.25">
      <c r="A3651" s="42" t="str">
        <f>CONCATENATE("Итого по подразделу: ",IF([1]Source!G4372&lt;&gt;"Новый подраздел", [1]Source!G4372, ""))</f>
        <v>Итого по подразделу: Лестница с крыльцом</v>
      </c>
      <c r="B3651" s="42"/>
      <c r="C3651" s="42"/>
      <c r="D3651" s="42"/>
      <c r="E3651" s="42"/>
      <c r="F3651" s="42"/>
      <c r="G3651" s="42"/>
      <c r="H3651" s="42"/>
      <c r="I3651" s="43">
        <f>SUM(AA3633:AA3650)</f>
        <v>15700.789999999999</v>
      </c>
      <c r="J3651" s="44"/>
      <c r="K3651" s="47"/>
      <c r="L3651" s="38">
        <f>I3651</f>
        <v>15700.789999999999</v>
      </c>
      <c r="M3651" s="2">
        <f>ROUND(I3651*$I$4874,2)</f>
        <v>11339.22</v>
      </c>
      <c r="N3651" s="2">
        <f>ROUND(M3651*1.2/105*100,2)</f>
        <v>12959.11</v>
      </c>
      <c r="O3651" s="2">
        <f>ROUND(N3651*0.05,2)</f>
        <v>647.96</v>
      </c>
      <c r="P3651" s="2">
        <f>N3651+O3651</f>
        <v>13607.07</v>
      </c>
      <c r="Q3651" s="3">
        <v>119</v>
      </c>
      <c r="S3651" s="2">
        <v>0</v>
      </c>
    </row>
    <row r="3652" spans="1:33" x14ac:dyDescent="0.2">
      <c r="M3652"/>
      <c r="N3652"/>
      <c r="O3652"/>
      <c r="P3652"/>
      <c r="Q3652"/>
    </row>
    <row r="3653" spans="1:33" x14ac:dyDescent="0.2">
      <c r="M3653"/>
      <c r="N3653"/>
      <c r="O3653"/>
      <c r="P3653"/>
      <c r="Q3653"/>
    </row>
    <row r="3654" spans="1:33" ht="15" x14ac:dyDescent="0.25">
      <c r="A3654" s="42" t="str">
        <f>CONCATENATE("Итого по разделу: ",IF([1]Source!G4402&lt;&gt;"Новый раздел", [1]Source!G4402, ""))</f>
        <v>Итого по разделу: Старый Английский двор</v>
      </c>
      <c r="B3654" s="42"/>
      <c r="C3654" s="42"/>
      <c r="D3654" s="42"/>
      <c r="E3654" s="42"/>
      <c r="F3654" s="42"/>
      <c r="G3654" s="42"/>
      <c r="H3654" s="42"/>
      <c r="I3654" s="43">
        <f>SUM(AA3610:AA3653)</f>
        <v>493203.38</v>
      </c>
      <c r="J3654" s="44"/>
      <c r="K3654" s="47"/>
      <c r="L3654" s="38">
        <f>I3654</f>
        <v>493203.38</v>
      </c>
      <c r="M3654" s="2">
        <f>M3630+M3651</f>
        <v>356194.86</v>
      </c>
      <c r="N3654" s="2">
        <f>N3630+N3651</f>
        <v>407079.83999999997</v>
      </c>
      <c r="O3654" s="2">
        <f>ROUND(N3654*0.05,2)</f>
        <v>20353.990000000002</v>
      </c>
      <c r="P3654" s="2">
        <f>SUM(P3630:P3651)</f>
        <v>427433.83999999997</v>
      </c>
      <c r="Q3654" s="48"/>
      <c r="R3654">
        <v>2</v>
      </c>
    </row>
    <row r="3655" spans="1:33" x14ac:dyDescent="0.2">
      <c r="M3655"/>
      <c r="N3655"/>
      <c r="O3655"/>
      <c r="P3655"/>
      <c r="Q3655"/>
    </row>
    <row r="3656" spans="1:33" x14ac:dyDescent="0.2">
      <c r="M3656"/>
      <c r="N3656"/>
      <c r="O3656"/>
      <c r="P3656"/>
      <c r="Q3656"/>
    </row>
    <row r="3657" spans="1:33" ht="16.5" x14ac:dyDescent="0.25">
      <c r="A3657" s="29" t="str">
        <f>CONCATENATE("Раздел: ",IF([1]Source!G4432&lt;&gt;"Новый раздел", [1]Source!G4432, ""))</f>
        <v>Раздел: Пешеходный переход к Подземному музею</v>
      </c>
      <c r="B3657" s="29"/>
      <c r="C3657" s="29"/>
      <c r="D3657" s="29"/>
      <c r="E3657" s="29"/>
      <c r="F3657" s="29"/>
      <c r="G3657" s="29"/>
      <c r="H3657" s="29"/>
      <c r="I3657" s="29"/>
      <c r="J3657" s="29"/>
      <c r="K3657" s="29"/>
      <c r="M3657"/>
      <c r="N3657"/>
      <c r="O3657"/>
      <c r="P3657"/>
      <c r="Q3657"/>
    </row>
    <row r="3658" spans="1:33" x14ac:dyDescent="0.2">
      <c r="M3658"/>
      <c r="N3658"/>
      <c r="O3658"/>
      <c r="P3658"/>
      <c r="Q3658"/>
    </row>
    <row r="3659" spans="1:33" ht="16.5" x14ac:dyDescent="0.25">
      <c r="A3659" s="29" t="str">
        <f>CONCATENATE("Подраздел: ",IF([1]Source!G4436&lt;&gt;"Новый подраздел", [1]Source!G4436, ""))</f>
        <v>Подраздел: Уход за покрытием</v>
      </c>
      <c r="B3659" s="29"/>
      <c r="C3659" s="29"/>
      <c r="D3659" s="29"/>
      <c r="E3659" s="29"/>
      <c r="F3659" s="29"/>
      <c r="G3659" s="29"/>
      <c r="H3659" s="29"/>
      <c r="I3659" s="29"/>
      <c r="J3659" s="29"/>
      <c r="K3659" s="29"/>
      <c r="M3659"/>
      <c r="N3659"/>
      <c r="O3659"/>
      <c r="P3659"/>
      <c r="Q3659"/>
    </row>
    <row r="3660" spans="1:33" ht="28.5" x14ac:dyDescent="0.2">
      <c r="A3660" s="31">
        <v>456</v>
      </c>
      <c r="B3660" s="31" t="str">
        <f>[1]Source!F4440</f>
        <v>5.3-1101-13-1/1</v>
      </c>
      <c r="C3660" s="31" t="str">
        <f>[1]Source!G4440</f>
        <v>Подметание вручную дорожек и площадок с твердым покрытием</v>
      </c>
      <c r="D3660" s="32" t="str">
        <f>[1]Source!H4440</f>
        <v>100 м2</v>
      </c>
      <c r="E3660" s="4">
        <f>[1]Source!I4440</f>
        <v>2.4714</v>
      </c>
      <c r="F3660" s="33"/>
      <c r="G3660" s="34"/>
      <c r="H3660" s="4"/>
      <c r="I3660" s="4"/>
      <c r="J3660" s="33"/>
      <c r="K3660" s="33"/>
      <c r="M3660"/>
      <c r="N3660"/>
      <c r="O3660"/>
      <c r="P3660"/>
      <c r="Q3660"/>
      <c r="AB3660">
        <f>ROUND(([1]Source!BZ4440/100)*ROUND(([1]Source!AF4440*[1]Source!AV4440)*[1]Source!I4440, 2), 2)</f>
        <v>23898.95</v>
      </c>
      <c r="AC3660">
        <f>[1]Source!X4440</f>
        <v>23898.95</v>
      </c>
      <c r="AD3660">
        <f>ROUND(([1]Source!CA4440/100)*ROUND(([1]Source!AF4440*[1]Source!AV4440)*[1]Source!I4440, 2), 2)</f>
        <v>3414.14</v>
      </c>
      <c r="AE3660">
        <f>[1]Source!Y4440</f>
        <v>3414.14</v>
      </c>
      <c r="AF3660">
        <f>ROUND((175/100)*ROUND(([1]Source!AE4440*[1]Source!AV4440)*[1]Source!I4440, 2), 2)</f>
        <v>0</v>
      </c>
      <c r="AG3660">
        <f>ROUND((108/100)*ROUND([1]Source!CS4440*[1]Source!I4440, 2), 2)</f>
        <v>0</v>
      </c>
    </row>
    <row r="3661" spans="1:33" x14ac:dyDescent="0.2">
      <c r="C3661" s="40" t="str">
        <f>"Объем: "&amp;[1]Source!I4440&amp;"=247,14/"&amp;"100"</f>
        <v>Объем: 2,4714=247,14/100</v>
      </c>
      <c r="M3661"/>
      <c r="N3661"/>
      <c r="O3661"/>
      <c r="P3661"/>
      <c r="Q3661"/>
    </row>
    <row r="3662" spans="1:33" ht="14.25" x14ac:dyDescent="0.2">
      <c r="A3662" s="31"/>
      <c r="B3662" s="31"/>
      <c r="C3662" s="31" t="s">
        <v>34</v>
      </c>
      <c r="D3662" s="32"/>
      <c r="E3662" s="4"/>
      <c r="F3662" s="33">
        <f>[1]Source!AO4440</f>
        <v>34.71</v>
      </c>
      <c r="G3662" s="34" t="str">
        <f>[1]Source!DG4440</f>
        <v>)*1*398</v>
      </c>
      <c r="H3662" s="4">
        <f>[1]Source!AV4440</f>
        <v>1</v>
      </c>
      <c r="I3662" s="4">
        <f>IF([1]Source!BA4440&lt;&gt; 0, [1]Source!BA4440, 1)</f>
        <v>1</v>
      </c>
      <c r="J3662" s="33">
        <f>[1]Source!S4440</f>
        <v>34141.35</v>
      </c>
      <c r="K3662" s="33"/>
      <c r="M3662"/>
      <c r="N3662"/>
      <c r="O3662"/>
      <c r="P3662"/>
      <c r="Q3662"/>
    </row>
    <row r="3663" spans="1:33" ht="14.25" x14ac:dyDescent="0.2">
      <c r="A3663" s="31"/>
      <c r="B3663" s="31"/>
      <c r="C3663" s="31" t="s">
        <v>40</v>
      </c>
      <c r="D3663" s="32" t="s">
        <v>39</v>
      </c>
      <c r="E3663" s="4">
        <f>[1]Source!AT4440</f>
        <v>70</v>
      </c>
      <c r="F3663" s="33"/>
      <c r="G3663" s="34"/>
      <c r="H3663" s="4"/>
      <c r="I3663" s="4"/>
      <c r="J3663" s="33">
        <f>SUM(AC3660:AC3662)</f>
        <v>23898.95</v>
      </c>
      <c r="K3663" s="33"/>
      <c r="M3663"/>
      <c r="N3663"/>
      <c r="O3663"/>
      <c r="P3663"/>
      <c r="Q3663"/>
    </row>
    <row r="3664" spans="1:33" ht="14.25" x14ac:dyDescent="0.2">
      <c r="A3664" s="31"/>
      <c r="B3664" s="31"/>
      <c r="C3664" s="31" t="s">
        <v>41</v>
      </c>
      <c r="D3664" s="32" t="s">
        <v>39</v>
      </c>
      <c r="E3664" s="4">
        <f>[1]Source!AU4440</f>
        <v>10</v>
      </c>
      <c r="F3664" s="33"/>
      <c r="G3664" s="34"/>
      <c r="H3664" s="4"/>
      <c r="I3664" s="4"/>
      <c r="J3664" s="33">
        <f>SUM(AE3660:AE3663)</f>
        <v>3414.14</v>
      </c>
      <c r="K3664" s="33"/>
      <c r="M3664"/>
      <c r="N3664"/>
      <c r="O3664"/>
      <c r="P3664"/>
      <c r="Q3664"/>
    </row>
    <row r="3665" spans="1:33" ht="14.25" x14ac:dyDescent="0.2">
      <c r="A3665" s="31"/>
      <c r="B3665" s="31"/>
      <c r="C3665" s="31" t="s">
        <v>42</v>
      </c>
      <c r="D3665" s="32" t="s">
        <v>43</v>
      </c>
      <c r="E3665" s="4">
        <f>[1]Source!AQ4440</f>
        <v>0.14000000000000001</v>
      </c>
      <c r="F3665" s="33"/>
      <c r="G3665" s="34" t="str">
        <f>[1]Source!DI4440</f>
        <v>)*1*398</v>
      </c>
      <c r="H3665" s="4">
        <f>[1]Source!AV4440</f>
        <v>1</v>
      </c>
      <c r="I3665" s="4"/>
      <c r="J3665" s="33"/>
      <c r="K3665" s="33">
        <f>[1]Source!U4440</f>
        <v>137.70640800000001</v>
      </c>
      <c r="M3665"/>
      <c r="N3665"/>
      <c r="O3665"/>
      <c r="P3665"/>
      <c r="Q3665"/>
    </row>
    <row r="3666" spans="1:33" ht="15" x14ac:dyDescent="0.25">
      <c r="A3666" s="35"/>
      <c r="B3666" s="35"/>
      <c r="C3666" s="35"/>
      <c r="D3666" s="35"/>
      <c r="E3666" s="35"/>
      <c r="F3666" s="35"/>
      <c r="G3666" s="35"/>
      <c r="H3666" s="35"/>
      <c r="I3666" s="36">
        <f>J3662+J3663+J3664</f>
        <v>61454.44</v>
      </c>
      <c r="J3666" s="36"/>
      <c r="K3666" s="37">
        <f>IF([1]Source!I4440&lt;&gt;0, ROUND(I3666/[1]Source!I4440, 2), 0)</f>
        <v>24866.25</v>
      </c>
      <c r="M3666"/>
      <c r="N3666"/>
      <c r="O3666"/>
      <c r="P3666"/>
      <c r="Q3666"/>
      <c r="AA3666" s="38">
        <f>I3666</f>
        <v>61454.44</v>
      </c>
    </row>
    <row r="3667" spans="1:33" ht="71.25" x14ac:dyDescent="0.2">
      <c r="A3667" s="31">
        <v>457</v>
      </c>
      <c r="B3667" s="31" t="str">
        <f>[1]Source!F4441</f>
        <v>5.3-1101-13-1/1</v>
      </c>
      <c r="C3667" s="31" t="str">
        <f>[1]Source!G4441</f>
        <v>Подметание вручную дорожек и площадок с твердым покрытием (  дополнительное подметание покрытий в особо ответственных местах среди дня   247,14м2* 0,3= 74,14 м2)</v>
      </c>
      <c r="D3667" s="32" t="str">
        <f>[1]Source!H4441</f>
        <v>100 м2</v>
      </c>
      <c r="E3667" s="4">
        <f>[1]Source!I4441</f>
        <v>0.74139999999999995</v>
      </c>
      <c r="F3667" s="33"/>
      <c r="G3667" s="34"/>
      <c r="H3667" s="4"/>
      <c r="I3667" s="4"/>
      <c r="J3667" s="33"/>
      <c r="K3667" s="33"/>
      <c r="M3667"/>
      <c r="N3667"/>
      <c r="O3667"/>
      <c r="P3667"/>
      <c r="Q3667"/>
      <c r="AB3667">
        <f>ROUND(([1]Source!BZ4441/100)*ROUND(([1]Source!AF4441*[1]Source!AV4441)*[1]Source!I4441, 2), 2)</f>
        <v>1801.38</v>
      </c>
      <c r="AC3667">
        <f>[1]Source!X4441</f>
        <v>1801.38</v>
      </c>
      <c r="AD3667">
        <f>ROUND(([1]Source!CA4441/100)*ROUND(([1]Source!AF4441*[1]Source!AV4441)*[1]Source!I4441, 2), 2)</f>
        <v>257.33999999999997</v>
      </c>
      <c r="AE3667">
        <f>[1]Source!Y4441</f>
        <v>257.33999999999997</v>
      </c>
      <c r="AF3667">
        <f>ROUND((175/100)*ROUND(([1]Source!AE4441*[1]Source!AV4441)*[1]Source!I4441, 2), 2)</f>
        <v>0</v>
      </c>
      <c r="AG3667">
        <f>ROUND((108/100)*ROUND([1]Source!CS4441*[1]Source!I4441, 2), 2)</f>
        <v>0</v>
      </c>
    </row>
    <row r="3668" spans="1:33" x14ac:dyDescent="0.2">
      <c r="C3668" s="40" t="str">
        <f>"Объем: "&amp;[1]Source!I4441&amp;"=74,14/"&amp;"100"</f>
        <v>Объем: 0,7414=74,14/100</v>
      </c>
      <c r="M3668"/>
      <c r="N3668"/>
      <c r="O3668"/>
      <c r="P3668"/>
      <c r="Q3668"/>
    </row>
    <row r="3669" spans="1:33" ht="14.25" x14ac:dyDescent="0.2">
      <c r="A3669" s="31"/>
      <c r="B3669" s="31"/>
      <c r="C3669" s="31" t="s">
        <v>34</v>
      </c>
      <c r="D3669" s="32"/>
      <c r="E3669" s="4"/>
      <c r="F3669" s="33">
        <f>[1]Source!AO4441</f>
        <v>34.71</v>
      </c>
      <c r="G3669" s="34" t="str">
        <f>[1]Source!DG4441</f>
        <v>)*1*100</v>
      </c>
      <c r="H3669" s="4">
        <f>[1]Source!AV4441</f>
        <v>1</v>
      </c>
      <c r="I3669" s="4">
        <f>IF([1]Source!BA4441&lt;&gt; 0, [1]Source!BA4441, 1)</f>
        <v>1</v>
      </c>
      <c r="J3669" s="33">
        <f>[1]Source!S4441</f>
        <v>2573.4</v>
      </c>
      <c r="K3669" s="33"/>
      <c r="M3669"/>
      <c r="N3669"/>
      <c r="O3669"/>
      <c r="P3669"/>
      <c r="Q3669"/>
    </row>
    <row r="3670" spans="1:33" ht="14.25" x14ac:dyDescent="0.2">
      <c r="A3670" s="31"/>
      <c r="B3670" s="31"/>
      <c r="C3670" s="31" t="s">
        <v>40</v>
      </c>
      <c r="D3670" s="32" t="s">
        <v>39</v>
      </c>
      <c r="E3670" s="4">
        <f>[1]Source!AT4441</f>
        <v>70</v>
      </c>
      <c r="F3670" s="33"/>
      <c r="G3670" s="34"/>
      <c r="H3670" s="4"/>
      <c r="I3670" s="4"/>
      <c r="J3670" s="33">
        <f>SUM(AC3667:AC3669)</f>
        <v>1801.38</v>
      </c>
      <c r="K3670" s="33"/>
      <c r="M3670"/>
      <c r="N3670"/>
      <c r="O3670"/>
      <c r="P3670"/>
      <c r="Q3670"/>
    </row>
    <row r="3671" spans="1:33" ht="14.25" x14ac:dyDescent="0.2">
      <c r="A3671" s="31"/>
      <c r="B3671" s="31"/>
      <c r="C3671" s="31" t="s">
        <v>41</v>
      </c>
      <c r="D3671" s="32" t="s">
        <v>39</v>
      </c>
      <c r="E3671" s="4">
        <f>[1]Source!AU4441</f>
        <v>10</v>
      </c>
      <c r="F3671" s="33"/>
      <c r="G3671" s="34"/>
      <c r="H3671" s="4"/>
      <c r="I3671" s="4"/>
      <c r="J3671" s="33">
        <f>SUM(AE3667:AE3670)</f>
        <v>257.33999999999997</v>
      </c>
      <c r="K3671" s="33"/>
      <c r="M3671"/>
      <c r="N3671"/>
      <c r="O3671"/>
      <c r="P3671"/>
      <c r="Q3671"/>
    </row>
    <row r="3672" spans="1:33" ht="14.25" x14ac:dyDescent="0.2">
      <c r="A3672" s="31"/>
      <c r="B3672" s="31"/>
      <c r="C3672" s="31" t="s">
        <v>42</v>
      </c>
      <c r="D3672" s="32" t="s">
        <v>43</v>
      </c>
      <c r="E3672" s="4">
        <f>[1]Source!AQ4441</f>
        <v>0.14000000000000001</v>
      </c>
      <c r="F3672" s="33"/>
      <c r="G3672" s="34" t="str">
        <f>[1]Source!DI4441</f>
        <v>)*1*100</v>
      </c>
      <c r="H3672" s="4">
        <f>[1]Source!AV4441</f>
        <v>1</v>
      </c>
      <c r="I3672" s="4"/>
      <c r="J3672" s="33"/>
      <c r="K3672" s="33">
        <f>[1]Source!U4441</f>
        <v>10.3796</v>
      </c>
      <c r="M3672"/>
      <c r="N3672"/>
      <c r="O3672"/>
      <c r="P3672"/>
      <c r="Q3672"/>
    </row>
    <row r="3673" spans="1:33" ht="15" x14ac:dyDescent="0.25">
      <c r="A3673" s="35"/>
      <c r="B3673" s="35"/>
      <c r="C3673" s="35"/>
      <c r="D3673" s="35"/>
      <c r="E3673" s="35"/>
      <c r="F3673" s="35"/>
      <c r="G3673" s="35"/>
      <c r="H3673" s="35"/>
      <c r="I3673" s="36">
        <f>J3669+J3670+J3671</f>
        <v>4632.1200000000008</v>
      </c>
      <c r="J3673" s="36"/>
      <c r="K3673" s="37">
        <f>IF([1]Source!I4441&lt;&gt;0, ROUND(I3673/[1]Source!I4441, 2), 0)</f>
        <v>6247.8</v>
      </c>
      <c r="M3673"/>
      <c r="N3673"/>
      <c r="O3673"/>
      <c r="P3673"/>
      <c r="Q3673"/>
      <c r="AA3673" s="38">
        <f>I3673</f>
        <v>4632.1200000000008</v>
      </c>
    </row>
    <row r="3674" spans="1:33" ht="14.25" x14ac:dyDescent="0.2">
      <c r="A3674" s="31">
        <v>458</v>
      </c>
      <c r="B3674" s="31" t="str">
        <f>[1]Source!F4442</f>
        <v>5.3-1101-14-1/1</v>
      </c>
      <c r="C3674" s="31" t="str">
        <f>[1]Source!G4442</f>
        <v>Полив дорожек из шланга вручную</v>
      </c>
      <c r="D3674" s="32" t="str">
        <f>[1]Source!H4442</f>
        <v>100 м2</v>
      </c>
      <c r="E3674" s="4">
        <f>[1]Source!I4442</f>
        <v>2.4714</v>
      </c>
      <c r="F3674" s="33"/>
      <c r="G3674" s="34"/>
      <c r="H3674" s="4"/>
      <c r="I3674" s="4"/>
      <c r="J3674" s="33"/>
      <c r="K3674" s="33"/>
      <c r="M3674"/>
      <c r="N3674"/>
      <c r="O3674"/>
      <c r="P3674"/>
      <c r="Q3674"/>
      <c r="AB3674">
        <f>ROUND(([1]Source!BZ4442/100)*ROUND(([1]Source!AF4442*[1]Source!AV4442)*[1]Source!I4442, 2), 2)</f>
        <v>669.09</v>
      </c>
      <c r="AC3674">
        <f>[1]Source!X4442</f>
        <v>669.09</v>
      </c>
      <c r="AD3674">
        <f>ROUND(([1]Source!CA4442/100)*ROUND(([1]Source!AF4442*[1]Source!AV4442)*[1]Source!I4442, 2), 2)</f>
        <v>95.58</v>
      </c>
      <c r="AE3674">
        <f>[1]Source!Y4442</f>
        <v>95.58</v>
      </c>
      <c r="AF3674">
        <f>ROUND((175/100)*ROUND(([1]Source!AE4442*[1]Source!AV4442)*[1]Source!I4442, 2), 2)</f>
        <v>0</v>
      </c>
      <c r="AG3674">
        <f>ROUND((108/100)*ROUND([1]Source!CS4442*[1]Source!I4442, 2), 2)</f>
        <v>0</v>
      </c>
    </row>
    <row r="3675" spans="1:33" x14ac:dyDescent="0.2">
      <c r="C3675" s="40" t="str">
        <f>"Объем: "&amp;[1]Source!I4442&amp;"=247,14/"&amp;"100"</f>
        <v>Объем: 2,4714=247,14/100</v>
      </c>
      <c r="M3675"/>
      <c r="N3675"/>
      <c r="O3675"/>
      <c r="P3675"/>
      <c r="Q3675"/>
    </row>
    <row r="3676" spans="1:33" ht="14.25" x14ac:dyDescent="0.2">
      <c r="A3676" s="31"/>
      <c r="B3676" s="31"/>
      <c r="C3676" s="31" t="s">
        <v>34</v>
      </c>
      <c r="D3676" s="32"/>
      <c r="E3676" s="4"/>
      <c r="F3676" s="33">
        <f>[1]Source!AO4442</f>
        <v>32.229999999999997</v>
      </c>
      <c r="G3676" s="34" t="str">
        <f>[1]Source!DG4442</f>
        <v>)*1*12</v>
      </c>
      <c r="H3676" s="4">
        <f>[1]Source!AV4442</f>
        <v>1</v>
      </c>
      <c r="I3676" s="4">
        <f>IF([1]Source!BA4442&lt;&gt; 0, [1]Source!BA4442, 1)</f>
        <v>1</v>
      </c>
      <c r="J3676" s="33">
        <f>[1]Source!S4442</f>
        <v>955.84</v>
      </c>
      <c r="K3676" s="33"/>
      <c r="M3676"/>
      <c r="N3676"/>
      <c r="O3676"/>
      <c r="P3676"/>
      <c r="Q3676"/>
    </row>
    <row r="3677" spans="1:33" ht="14.25" x14ac:dyDescent="0.2">
      <c r="A3677" s="31"/>
      <c r="B3677" s="31"/>
      <c r="C3677" s="31" t="s">
        <v>47</v>
      </c>
      <c r="D3677" s="32"/>
      <c r="E3677" s="4"/>
      <c r="F3677" s="33">
        <f>[1]Source!AL4442</f>
        <v>4.24</v>
      </c>
      <c r="G3677" s="34" t="str">
        <f>[1]Source!DD4442</f>
        <v>)*1*12</v>
      </c>
      <c r="H3677" s="4">
        <f>[1]Source!AW4442</f>
        <v>1</v>
      </c>
      <c r="I3677" s="4">
        <f>IF([1]Source!BC4442&lt;&gt; 0, [1]Source!BC4442, 1)</f>
        <v>1</v>
      </c>
      <c r="J3677" s="33">
        <f>[1]Source!P4442</f>
        <v>125.74</v>
      </c>
      <c r="K3677" s="33"/>
      <c r="M3677"/>
      <c r="N3677"/>
      <c r="O3677"/>
      <c r="P3677"/>
      <c r="Q3677"/>
    </row>
    <row r="3678" spans="1:33" ht="14.25" x14ac:dyDescent="0.2">
      <c r="A3678" s="31" t="s">
        <v>183</v>
      </c>
      <c r="B3678" s="31" t="str">
        <f>[1]Source!F4443</f>
        <v>21.1-25-13</v>
      </c>
      <c r="C3678" s="31" t="str">
        <f>[1]Source!G4443</f>
        <v>Вода</v>
      </c>
      <c r="D3678" s="32" t="str">
        <f>[1]Source!H4443</f>
        <v>м3</v>
      </c>
      <c r="E3678" s="4">
        <f>[1]Source!I4443</f>
        <v>-2.9656799999999999</v>
      </c>
      <c r="F3678" s="33">
        <f>[1]Source!AK4443</f>
        <v>42.44</v>
      </c>
      <c r="G3678" s="39" t="s">
        <v>134</v>
      </c>
      <c r="H3678" s="4">
        <f>[1]Source!AW4443</f>
        <v>1</v>
      </c>
      <c r="I3678" s="4">
        <f>IF([1]Source!BC4443&lt;&gt; 0, [1]Source!BC4443, 1)</f>
        <v>1</v>
      </c>
      <c r="J3678" s="33">
        <f>[1]Source!O4443</f>
        <v>-125.86</v>
      </c>
      <c r="K3678" s="33"/>
      <c r="M3678"/>
      <c r="N3678"/>
      <c r="O3678"/>
      <c r="P3678"/>
      <c r="Q3678"/>
      <c r="AB3678">
        <f>ROUND(([1]Source!BZ4443/100)*ROUND(([1]Source!AF4443*[1]Source!AV4443)*[1]Source!I4443, 2), 2)</f>
        <v>0</v>
      </c>
      <c r="AC3678">
        <f>[1]Source!X4443</f>
        <v>0</v>
      </c>
      <c r="AD3678">
        <f>ROUND(([1]Source!CA4443/100)*ROUND(([1]Source!AF4443*[1]Source!AV4443)*[1]Source!I4443, 2), 2)</f>
        <v>0</v>
      </c>
      <c r="AE3678">
        <f>[1]Source!Y4443</f>
        <v>0</v>
      </c>
      <c r="AF3678">
        <f>ROUND((175/100)*ROUND(([1]Source!AE4443*[1]Source!AV4443)*[1]Source!I4443, 2), 2)</f>
        <v>0</v>
      </c>
      <c r="AG3678">
        <f>ROUND((108/100)*ROUND([1]Source!CS4443*[1]Source!I4443, 2), 2)</f>
        <v>0</v>
      </c>
    </row>
    <row r="3679" spans="1:33" ht="14.25" x14ac:dyDescent="0.2">
      <c r="A3679" s="31"/>
      <c r="B3679" s="31"/>
      <c r="C3679" s="31" t="s">
        <v>40</v>
      </c>
      <c r="D3679" s="32" t="s">
        <v>39</v>
      </c>
      <c r="E3679" s="4">
        <f>[1]Source!AT4442</f>
        <v>70</v>
      </c>
      <c r="F3679" s="33"/>
      <c r="G3679" s="34"/>
      <c r="H3679" s="4"/>
      <c r="I3679" s="4"/>
      <c r="J3679" s="33">
        <f>SUM(AC3674:AC3678)</f>
        <v>669.09</v>
      </c>
      <c r="K3679" s="33"/>
      <c r="M3679"/>
      <c r="N3679"/>
      <c r="O3679"/>
      <c r="P3679"/>
      <c r="Q3679"/>
    </row>
    <row r="3680" spans="1:33" ht="14.25" x14ac:dyDescent="0.2">
      <c r="A3680" s="31"/>
      <c r="B3680" s="31"/>
      <c r="C3680" s="31" t="s">
        <v>41</v>
      </c>
      <c r="D3680" s="32" t="s">
        <v>39</v>
      </c>
      <c r="E3680" s="4">
        <f>[1]Source!AU4442</f>
        <v>10</v>
      </c>
      <c r="F3680" s="33"/>
      <c r="G3680" s="34"/>
      <c r="H3680" s="4"/>
      <c r="I3680" s="4"/>
      <c r="J3680" s="33">
        <f>SUM(AE3674:AE3679)</f>
        <v>95.58</v>
      </c>
      <c r="K3680" s="33"/>
      <c r="M3680"/>
      <c r="N3680"/>
      <c r="O3680"/>
      <c r="P3680"/>
      <c r="Q3680"/>
    </row>
    <row r="3681" spans="1:33" ht="14.25" x14ac:dyDescent="0.2">
      <c r="A3681" s="31"/>
      <c r="B3681" s="31"/>
      <c r="C3681" s="31" t="s">
        <v>42</v>
      </c>
      <c r="D3681" s="32" t="s">
        <v>43</v>
      </c>
      <c r="E3681" s="4">
        <f>[1]Source!AQ4442</f>
        <v>0.13</v>
      </c>
      <c r="F3681" s="33"/>
      <c r="G3681" s="34" t="str">
        <f>[1]Source!DI4442</f>
        <v>)*1*12</v>
      </c>
      <c r="H3681" s="4">
        <f>[1]Source!AV4442</f>
        <v>1</v>
      </c>
      <c r="I3681" s="4"/>
      <c r="J3681" s="33"/>
      <c r="K3681" s="33">
        <f>[1]Source!U4442</f>
        <v>3.8553840000000004</v>
      </c>
      <c r="M3681"/>
      <c r="N3681"/>
      <c r="O3681"/>
      <c r="P3681"/>
      <c r="Q3681"/>
    </row>
    <row r="3682" spans="1:33" ht="15" x14ac:dyDescent="0.25">
      <c r="A3682" s="35"/>
      <c r="B3682" s="35"/>
      <c r="C3682" s="35"/>
      <c r="D3682" s="35"/>
      <c r="E3682" s="35"/>
      <c r="F3682" s="35"/>
      <c r="G3682" s="35"/>
      <c r="H3682" s="35"/>
      <c r="I3682" s="36">
        <f>J3676+J3677+J3679+J3680+SUM(J3678:J3678)</f>
        <v>1720.39</v>
      </c>
      <c r="J3682" s="36"/>
      <c r="K3682" s="37">
        <f>IF([1]Source!I4442&lt;&gt;0, ROUND(I3682/[1]Source!I4442, 2), 0)</f>
        <v>696.12</v>
      </c>
      <c r="M3682"/>
      <c r="N3682"/>
      <c r="O3682"/>
      <c r="P3682"/>
      <c r="Q3682"/>
      <c r="AA3682" s="38">
        <f>I3682</f>
        <v>1720.39</v>
      </c>
    </row>
    <row r="3683" spans="1:33" x14ac:dyDescent="0.2">
      <c r="M3683"/>
      <c r="N3683"/>
      <c r="O3683"/>
      <c r="P3683"/>
      <c r="Q3683"/>
    </row>
    <row r="3684" spans="1:33" ht="15" x14ac:dyDescent="0.25">
      <c r="A3684" s="42" t="str">
        <f>CONCATENATE("Итого по подразделу: ",IF([1]Source!G4445&lt;&gt;"Новый подраздел", [1]Source!G4445, ""))</f>
        <v>Итого по подразделу: Уход за покрытием</v>
      </c>
      <c r="B3684" s="42"/>
      <c r="C3684" s="42"/>
      <c r="D3684" s="42"/>
      <c r="E3684" s="42"/>
      <c r="F3684" s="42"/>
      <c r="G3684" s="42"/>
      <c r="H3684" s="42"/>
      <c r="I3684" s="43">
        <f>SUM(AA3659:AA3683)</f>
        <v>67806.95</v>
      </c>
      <c r="J3684" s="44"/>
      <c r="K3684" s="47"/>
      <c r="L3684" s="38">
        <f>I3684</f>
        <v>67806.95</v>
      </c>
      <c r="M3684" s="2">
        <f>ROUND(I3684*$I$4874,2)</f>
        <v>48970.64</v>
      </c>
      <c r="N3684" s="2">
        <f>ROUND(M3684*1.2/105*100,2)</f>
        <v>55966.45</v>
      </c>
      <c r="O3684" s="2">
        <f>ROUND(N3684*0.05,2)</f>
        <v>2798.32</v>
      </c>
      <c r="P3684" s="2">
        <f>N3684+O3684</f>
        <v>58764.77</v>
      </c>
      <c r="Q3684" s="3">
        <v>121</v>
      </c>
      <c r="S3684" s="2">
        <v>0</v>
      </c>
    </row>
    <row r="3685" spans="1:33" x14ac:dyDescent="0.2">
      <c r="M3685"/>
      <c r="N3685"/>
      <c r="O3685"/>
      <c r="P3685"/>
      <c r="Q3685"/>
    </row>
    <row r="3686" spans="1:33" x14ac:dyDescent="0.2">
      <c r="M3686"/>
      <c r="N3686"/>
      <c r="O3686"/>
      <c r="P3686"/>
      <c r="Q3686"/>
    </row>
    <row r="3687" spans="1:33" ht="16.5" x14ac:dyDescent="0.25">
      <c r="A3687" s="29" t="str">
        <f>CONCATENATE("Подраздел: ",IF([1]Source!G4475&lt;&gt;"Новый подраздел", [1]Source!G4475, ""))</f>
        <v>Подраздел: Водотводной лоток</v>
      </c>
      <c r="B3687" s="29"/>
      <c r="C3687" s="29"/>
      <c r="D3687" s="29"/>
      <c r="E3687" s="29"/>
      <c r="F3687" s="29"/>
      <c r="G3687" s="29"/>
      <c r="H3687" s="29"/>
      <c r="I3687" s="29"/>
      <c r="J3687" s="29"/>
      <c r="K3687" s="29"/>
      <c r="M3687"/>
      <c r="N3687"/>
      <c r="O3687"/>
      <c r="P3687"/>
      <c r="Q3687"/>
    </row>
    <row r="3688" spans="1:33" ht="28.5" x14ac:dyDescent="0.2">
      <c r="A3688" s="31">
        <v>459</v>
      </c>
      <c r="B3688" s="31" t="str">
        <f>[1]Source!F4479</f>
        <v>5.3-1101-20-1/1</v>
      </c>
      <c r="C3688" s="31" t="str">
        <f>[1]Source!G4479</f>
        <v>Прочистка водоотводных лотков в отмостке</v>
      </c>
      <c r="D3688" s="32" t="str">
        <f>[1]Source!H4479</f>
        <v>10 м</v>
      </c>
      <c r="E3688" s="4">
        <f>[1]Source!I4479</f>
        <v>4.819</v>
      </c>
      <c r="F3688" s="33"/>
      <c r="G3688" s="34"/>
      <c r="H3688" s="4"/>
      <c r="I3688" s="4"/>
      <c r="J3688" s="33"/>
      <c r="K3688" s="33"/>
      <c r="M3688"/>
      <c r="N3688"/>
      <c r="O3688"/>
      <c r="P3688"/>
      <c r="Q3688"/>
      <c r="AB3688">
        <f>ROUND(([1]Source!BZ4479/100)*ROUND(([1]Source!AF4479*[1]Source!AV4479)*[1]Source!I4479, 2), 2)</f>
        <v>8944.7800000000007</v>
      </c>
      <c r="AC3688">
        <f>[1]Source!X4479</f>
        <v>8944.7800000000007</v>
      </c>
      <c r="AD3688">
        <f>ROUND(([1]Source!CA4479/100)*ROUND(([1]Source!AF4479*[1]Source!AV4479)*[1]Source!I4479, 2), 2)</f>
        <v>1277.83</v>
      </c>
      <c r="AE3688">
        <f>[1]Source!Y4479</f>
        <v>1277.83</v>
      </c>
      <c r="AF3688">
        <f>ROUND((175/100)*ROUND(([1]Source!AE4479*[1]Source!AV4479)*[1]Source!I4479, 2), 2)</f>
        <v>0</v>
      </c>
      <c r="AG3688">
        <f>ROUND((108/100)*ROUND([1]Source!CS4479*[1]Source!I4479, 2), 2)</f>
        <v>0</v>
      </c>
    </row>
    <row r="3689" spans="1:33" x14ac:dyDescent="0.2">
      <c r="C3689" s="40" t="str">
        <f>"Объем: "&amp;[1]Source!I4479&amp;"=48,19/"&amp;"10"</f>
        <v>Объем: 4,819=48,19/10</v>
      </c>
      <c r="M3689"/>
      <c r="N3689"/>
      <c r="O3689"/>
      <c r="P3689"/>
      <c r="Q3689"/>
    </row>
    <row r="3690" spans="1:33" ht="14.25" x14ac:dyDescent="0.2">
      <c r="A3690" s="31"/>
      <c r="B3690" s="31"/>
      <c r="C3690" s="31" t="s">
        <v>34</v>
      </c>
      <c r="D3690" s="32"/>
      <c r="E3690" s="4"/>
      <c r="F3690" s="33">
        <f>[1]Source!AO4479</f>
        <v>220.97</v>
      </c>
      <c r="G3690" s="34" t="str">
        <f>[1]Source!DG4479</f>
        <v>)*1*12</v>
      </c>
      <c r="H3690" s="4">
        <f>[1]Source!AV4479</f>
        <v>1</v>
      </c>
      <c r="I3690" s="4">
        <f>IF([1]Source!BA4479&lt;&gt; 0, [1]Source!BA4479, 1)</f>
        <v>1</v>
      </c>
      <c r="J3690" s="33">
        <f>[1]Source!S4479</f>
        <v>12778.25</v>
      </c>
      <c r="K3690" s="33"/>
      <c r="M3690"/>
      <c r="N3690"/>
      <c r="O3690"/>
      <c r="P3690"/>
      <c r="Q3690"/>
    </row>
    <row r="3691" spans="1:33" ht="14.25" x14ac:dyDescent="0.2">
      <c r="A3691" s="31"/>
      <c r="B3691" s="31"/>
      <c r="C3691" s="31" t="s">
        <v>40</v>
      </c>
      <c r="D3691" s="32" t="s">
        <v>39</v>
      </c>
      <c r="E3691" s="4">
        <f>[1]Source!AT4479</f>
        <v>70</v>
      </c>
      <c r="F3691" s="33"/>
      <c r="G3691" s="34"/>
      <c r="H3691" s="4"/>
      <c r="I3691" s="4"/>
      <c r="J3691" s="33">
        <f>SUM(AC3688:AC3690)</f>
        <v>8944.7800000000007</v>
      </c>
      <c r="K3691" s="33"/>
      <c r="M3691"/>
      <c r="N3691"/>
      <c r="O3691"/>
      <c r="P3691"/>
      <c r="Q3691"/>
    </row>
    <row r="3692" spans="1:33" ht="14.25" x14ac:dyDescent="0.2">
      <c r="A3692" s="31"/>
      <c r="B3692" s="31"/>
      <c r="C3692" s="31" t="s">
        <v>41</v>
      </c>
      <c r="D3692" s="32" t="s">
        <v>39</v>
      </c>
      <c r="E3692" s="4">
        <f>[1]Source!AU4479</f>
        <v>10</v>
      </c>
      <c r="F3692" s="33"/>
      <c r="G3692" s="34"/>
      <c r="H3692" s="4"/>
      <c r="I3692" s="4"/>
      <c r="J3692" s="33">
        <f>SUM(AE3688:AE3691)</f>
        <v>1277.83</v>
      </c>
      <c r="K3692" s="33"/>
      <c r="M3692"/>
      <c r="N3692"/>
      <c r="O3692"/>
      <c r="P3692"/>
      <c r="Q3692"/>
    </row>
    <row r="3693" spans="1:33" ht="14.25" x14ac:dyDescent="0.2">
      <c r="A3693" s="31"/>
      <c r="B3693" s="31"/>
      <c r="C3693" s="31" t="s">
        <v>42</v>
      </c>
      <c r="D3693" s="32" t="s">
        <v>43</v>
      </c>
      <c r="E3693" s="4">
        <f>[1]Source!AQ4479</f>
        <v>1.24</v>
      </c>
      <c r="F3693" s="33"/>
      <c r="G3693" s="34" t="str">
        <f>[1]Source!DI4479</f>
        <v>)*1*12</v>
      </c>
      <c r="H3693" s="4">
        <f>[1]Source!AV4479</f>
        <v>1</v>
      </c>
      <c r="I3693" s="4"/>
      <c r="J3693" s="33"/>
      <c r="K3693" s="33">
        <f>[1]Source!U4479</f>
        <v>71.70671999999999</v>
      </c>
      <c r="M3693"/>
      <c r="N3693"/>
      <c r="O3693"/>
      <c r="P3693"/>
      <c r="Q3693"/>
    </row>
    <row r="3694" spans="1:33" ht="15" x14ac:dyDescent="0.25">
      <c r="A3694" s="35"/>
      <c r="B3694" s="35"/>
      <c r="C3694" s="35"/>
      <c r="D3694" s="35"/>
      <c r="E3694" s="35"/>
      <c r="F3694" s="35"/>
      <c r="G3694" s="35"/>
      <c r="H3694" s="35"/>
      <c r="I3694" s="36">
        <f>J3690+J3691+J3692</f>
        <v>23000.86</v>
      </c>
      <c r="J3694" s="36"/>
      <c r="K3694" s="37">
        <f>IF([1]Source!I4479&lt;&gt;0, ROUND(I3694/[1]Source!I4479, 2), 0)</f>
        <v>4772.95</v>
      </c>
      <c r="M3694"/>
      <c r="N3694"/>
      <c r="O3694"/>
      <c r="P3694"/>
      <c r="Q3694"/>
      <c r="AA3694" s="38">
        <f>I3694</f>
        <v>23000.86</v>
      </c>
    </row>
    <row r="3695" spans="1:33" x14ac:dyDescent="0.2">
      <c r="M3695"/>
      <c r="N3695"/>
      <c r="O3695"/>
      <c r="P3695"/>
      <c r="Q3695"/>
    </row>
    <row r="3696" spans="1:33" ht="15" x14ac:dyDescent="0.25">
      <c r="A3696" s="42" t="str">
        <f>CONCATENATE("Итого по подразделу: ",IF([1]Source!G4481&lt;&gt;"Новый подраздел", [1]Source!G4481, ""))</f>
        <v>Итого по подразделу: Водотводной лоток</v>
      </c>
      <c r="B3696" s="42"/>
      <c r="C3696" s="42"/>
      <c r="D3696" s="42"/>
      <c r="E3696" s="42"/>
      <c r="F3696" s="42"/>
      <c r="G3696" s="42"/>
      <c r="H3696" s="42"/>
      <c r="I3696" s="43">
        <f>SUM(AA3687:AA3695)</f>
        <v>23000.86</v>
      </c>
      <c r="J3696" s="44"/>
      <c r="K3696" s="47"/>
      <c r="L3696" s="38">
        <f>I3696</f>
        <v>23000.86</v>
      </c>
      <c r="M3696" s="2">
        <f>ROUND(I3696*$I$4874,2)</f>
        <v>16611.38</v>
      </c>
      <c r="N3696" s="2">
        <f>ROUND(M3696*1.2/105*100,2)</f>
        <v>18984.43</v>
      </c>
      <c r="O3696" s="2">
        <f>ROUND(N3696*0.05,2)</f>
        <v>949.22</v>
      </c>
      <c r="P3696" s="2">
        <f>N3696+O3696</f>
        <v>19933.650000000001</v>
      </c>
      <c r="Q3696" s="3">
        <v>131</v>
      </c>
      <c r="S3696" s="2">
        <v>0</v>
      </c>
    </row>
    <row r="3697" spans="1:33" x14ac:dyDescent="0.2">
      <c r="M3697"/>
      <c r="N3697"/>
      <c r="O3697"/>
      <c r="P3697"/>
      <c r="Q3697"/>
    </row>
    <row r="3698" spans="1:33" x14ac:dyDescent="0.2">
      <c r="M3698"/>
      <c r="N3698"/>
      <c r="O3698"/>
      <c r="P3698"/>
      <c r="Q3698"/>
    </row>
    <row r="3699" spans="1:33" ht="15" x14ac:dyDescent="0.25">
      <c r="A3699" s="42" t="str">
        <f>CONCATENATE("Итого по разделу: ",IF([1]Source!G4511&lt;&gt;"Новый раздел", [1]Source!G4511, ""))</f>
        <v>Итого по разделу: Пешеходный переход к Подземному музею</v>
      </c>
      <c r="B3699" s="42"/>
      <c r="C3699" s="42"/>
      <c r="D3699" s="42"/>
      <c r="E3699" s="42"/>
      <c r="F3699" s="42"/>
      <c r="G3699" s="42"/>
      <c r="H3699" s="42"/>
      <c r="I3699" s="43">
        <f>SUM(AA3657:AA3698)</f>
        <v>90807.81</v>
      </c>
      <c r="J3699" s="44"/>
      <c r="K3699" s="47"/>
      <c r="L3699" s="38">
        <f>I3699</f>
        <v>90807.81</v>
      </c>
      <c r="M3699" s="2">
        <f>M3684+M3696</f>
        <v>65582.02</v>
      </c>
      <c r="N3699" s="2">
        <f>N3684+N3696</f>
        <v>74950.880000000005</v>
      </c>
      <c r="O3699" s="2">
        <f>ROUND(N3699*0.05,2)</f>
        <v>3747.54</v>
      </c>
      <c r="P3699" s="2">
        <f>SUM(P3684:P3696)</f>
        <v>78698.42</v>
      </c>
      <c r="Q3699" s="48"/>
      <c r="R3699">
        <v>2</v>
      </c>
    </row>
    <row r="3700" spans="1:33" x14ac:dyDescent="0.2">
      <c r="M3700"/>
      <c r="N3700"/>
      <c r="O3700"/>
      <c r="P3700"/>
      <c r="Q3700"/>
    </row>
    <row r="3701" spans="1:33" x14ac:dyDescent="0.2">
      <c r="M3701"/>
      <c r="N3701"/>
      <c r="O3701"/>
      <c r="P3701"/>
      <c r="Q3701"/>
    </row>
    <row r="3702" spans="1:33" ht="16.5" x14ac:dyDescent="0.25">
      <c r="A3702" s="29" t="str">
        <f>CONCATENATE("Раздел: ",IF([1]Source!G4541&lt;&gt;"Новый раздел", [1]Source!G4541, ""))</f>
        <v>Раздел: Очистка искусственных прудов</v>
      </c>
      <c r="B3702" s="29"/>
      <c r="C3702" s="29"/>
      <c r="D3702" s="29"/>
      <c r="E3702" s="29"/>
      <c r="F3702" s="29"/>
      <c r="G3702" s="29"/>
      <c r="H3702" s="29"/>
      <c r="I3702" s="29"/>
      <c r="J3702" s="29"/>
      <c r="K3702" s="29"/>
      <c r="M3702"/>
      <c r="N3702"/>
      <c r="O3702"/>
      <c r="P3702"/>
      <c r="Q3702"/>
    </row>
    <row r="3703" spans="1:33" ht="42.75" x14ac:dyDescent="0.2">
      <c r="A3703" s="31">
        <v>460</v>
      </c>
      <c r="B3703" s="31" t="str">
        <f>[1]Source!F4545</f>
        <v>2.12-1101-23-1/1</v>
      </c>
      <c r="C3703" s="31" t="str">
        <f>[1]Source!G4545</f>
        <v>Очистка искусственных прудов на территории парка "Зарядье" - механическая очистка водоема</v>
      </c>
      <c r="D3703" s="32" t="str">
        <f>[1]Source!H4545</f>
        <v>10 м2</v>
      </c>
      <c r="E3703" s="4">
        <f>[1]Source!I4545</f>
        <v>118.1</v>
      </c>
      <c r="F3703" s="33"/>
      <c r="G3703" s="34"/>
      <c r="H3703" s="4"/>
      <c r="I3703" s="4"/>
      <c r="J3703" s="33"/>
      <c r="K3703" s="33"/>
      <c r="M3703"/>
      <c r="N3703"/>
      <c r="O3703"/>
      <c r="P3703"/>
      <c r="Q3703"/>
      <c r="AB3703">
        <f>ROUND(([1]Source!BZ4545/100)*ROUND(([1]Source!AF4545*[1]Source!AV4545)*[1]Source!I4545, 2), 2)</f>
        <v>1507394.86</v>
      </c>
      <c r="AC3703">
        <f>[1]Source!X4545</f>
        <v>1507394.86</v>
      </c>
      <c r="AD3703">
        <f>ROUND(([1]Source!CA4545/100)*ROUND(([1]Source!AF4545*[1]Source!AV4545)*[1]Source!I4545, 2), 2)</f>
        <v>215342.12</v>
      </c>
      <c r="AE3703">
        <f>[1]Source!Y4545</f>
        <v>215342.12</v>
      </c>
      <c r="AF3703">
        <f>ROUND((175/100)*ROUND(([1]Source!AE4545*[1]Source!AV4545)*[1]Source!I4545, 2), 2)</f>
        <v>0</v>
      </c>
      <c r="AG3703">
        <f>ROUND((108/100)*ROUND([1]Source!CS4545*[1]Source!I4545, 2), 2)</f>
        <v>0</v>
      </c>
    </row>
    <row r="3704" spans="1:33" x14ac:dyDescent="0.2">
      <c r="C3704" s="40" t="str">
        <f>"Объем: "&amp;[1]Source!I4545&amp;"=1181/"&amp;"10"</f>
        <v>Объем: 118,1=1181/10</v>
      </c>
      <c r="M3704"/>
      <c r="N3704"/>
      <c r="O3704"/>
      <c r="P3704"/>
      <c r="Q3704"/>
    </row>
    <row r="3705" spans="1:33" ht="14.25" x14ac:dyDescent="0.2">
      <c r="A3705" s="31"/>
      <c r="B3705" s="31"/>
      <c r="C3705" s="31" t="s">
        <v>34</v>
      </c>
      <c r="D3705" s="32"/>
      <c r="E3705" s="4"/>
      <c r="F3705" s="33">
        <f>[1]Source!AO4545</f>
        <v>1519.49</v>
      </c>
      <c r="G3705" s="34" t="str">
        <f>[1]Source!DG4545</f>
        <v>)*1*12</v>
      </c>
      <c r="H3705" s="4">
        <f>[1]Source!AV4545</f>
        <v>1</v>
      </c>
      <c r="I3705" s="4">
        <f>IF([1]Source!BA4545&lt;&gt; 0, [1]Source!BA4545, 1)</f>
        <v>1</v>
      </c>
      <c r="J3705" s="33">
        <f>[1]Source!S4545</f>
        <v>2153421.23</v>
      </c>
      <c r="K3705" s="33"/>
      <c r="M3705"/>
      <c r="N3705"/>
      <c r="O3705"/>
      <c r="P3705"/>
      <c r="Q3705"/>
    </row>
    <row r="3706" spans="1:33" ht="14.25" x14ac:dyDescent="0.2">
      <c r="A3706" s="31"/>
      <c r="B3706" s="31"/>
      <c r="C3706" s="31" t="s">
        <v>33</v>
      </c>
      <c r="D3706" s="32"/>
      <c r="E3706" s="4"/>
      <c r="F3706" s="33">
        <f>[1]Source!AM4545</f>
        <v>80.67</v>
      </c>
      <c r="G3706" s="34" t="str">
        <f>[1]Source!DE4545</f>
        <v>)*1*12</v>
      </c>
      <c r="H3706" s="4">
        <f>[1]Source!AV4545</f>
        <v>1</v>
      </c>
      <c r="I3706" s="4">
        <f>IF([1]Source!BB4545&lt;&gt; 0, [1]Source!BB4545, 1)</f>
        <v>1</v>
      </c>
      <c r="J3706" s="33">
        <f>[1]Source!Q4545</f>
        <v>114325.52</v>
      </c>
      <c r="K3706" s="33"/>
      <c r="M3706"/>
      <c r="N3706"/>
      <c r="O3706"/>
      <c r="P3706"/>
      <c r="Q3706"/>
    </row>
    <row r="3707" spans="1:33" ht="42.75" x14ac:dyDescent="0.2">
      <c r="A3707" s="31" t="s">
        <v>184</v>
      </c>
      <c r="B3707" s="31" t="str">
        <f>[1]Source!F4546</f>
        <v>цена поставщика</v>
      </c>
      <c r="C3707" s="31" t="str">
        <f>[1]Source!G4546</f>
        <v>пакеты ПНД для мусора, объем пакета 240л( длина-1400мм, ширина-900 мм, толщина- 40мкм)</v>
      </c>
      <c r="D3707" s="32" t="str">
        <f>[1]Source!H4546</f>
        <v>шт.</v>
      </c>
      <c r="E3707" s="4">
        <f>[1]Source!I4546</f>
        <v>719.99995699999999</v>
      </c>
      <c r="F3707" s="33">
        <f>[1]Source!AK4546</f>
        <v>17.88</v>
      </c>
      <c r="G3707" s="39" t="s">
        <v>134</v>
      </c>
      <c r="H3707" s="4">
        <f>[1]Source!AW4546</f>
        <v>1</v>
      </c>
      <c r="I3707" s="4">
        <f>IF([1]Source!BC4546&lt;&gt; 0, [1]Source!BC4546, 1)</f>
        <v>1</v>
      </c>
      <c r="J3707" s="33">
        <f>[1]Source!O4546</f>
        <v>12873.6</v>
      </c>
      <c r="K3707" s="33"/>
      <c r="M3707"/>
      <c r="N3707"/>
      <c r="O3707"/>
      <c r="P3707"/>
      <c r="Q3707"/>
      <c r="AB3707">
        <f>ROUND(([1]Source!BZ4546/100)*ROUND(([1]Source!AF4546*[1]Source!AV4546)*[1]Source!I4546, 2), 2)</f>
        <v>0</v>
      </c>
      <c r="AC3707">
        <f>[1]Source!X4546</f>
        <v>0</v>
      </c>
      <c r="AD3707">
        <f>ROUND(([1]Source!CA4546/100)*ROUND(([1]Source!AF4546*[1]Source!AV4546)*[1]Source!I4546, 2), 2)</f>
        <v>0</v>
      </c>
      <c r="AE3707">
        <f>[1]Source!Y4546</f>
        <v>0</v>
      </c>
      <c r="AF3707">
        <f>ROUND((175/100)*ROUND(([1]Source!AE4546*[1]Source!AV4546)*[1]Source!I4546, 2), 2)</f>
        <v>0</v>
      </c>
      <c r="AG3707">
        <f>ROUND((108/100)*ROUND([1]Source!CS4546*[1]Source!I4546, 2), 2)</f>
        <v>0</v>
      </c>
    </row>
    <row r="3708" spans="1:33" ht="14.25" x14ac:dyDescent="0.2">
      <c r="A3708" s="31"/>
      <c r="B3708" s="31"/>
      <c r="C3708" s="31" t="s">
        <v>40</v>
      </c>
      <c r="D3708" s="32" t="s">
        <v>39</v>
      </c>
      <c r="E3708" s="4">
        <f>[1]Source!AT4545</f>
        <v>70</v>
      </c>
      <c r="F3708" s="33"/>
      <c r="G3708" s="34"/>
      <c r="H3708" s="4"/>
      <c r="I3708" s="4"/>
      <c r="J3708" s="33">
        <f>SUM(AC3703:AC3707)</f>
        <v>1507394.86</v>
      </c>
      <c r="K3708" s="33"/>
      <c r="M3708"/>
      <c r="N3708"/>
      <c r="O3708"/>
      <c r="P3708"/>
      <c r="Q3708"/>
    </row>
    <row r="3709" spans="1:33" ht="14.25" x14ac:dyDescent="0.2">
      <c r="A3709" s="31"/>
      <c r="B3709" s="31"/>
      <c r="C3709" s="31" t="s">
        <v>41</v>
      </c>
      <c r="D3709" s="32" t="s">
        <v>39</v>
      </c>
      <c r="E3709" s="4">
        <f>[1]Source!AU4545</f>
        <v>10</v>
      </c>
      <c r="F3709" s="33"/>
      <c r="G3709" s="34"/>
      <c r="H3709" s="4"/>
      <c r="I3709" s="4"/>
      <c r="J3709" s="33">
        <f>SUM(AE3703:AE3708)</f>
        <v>215342.12</v>
      </c>
      <c r="K3709" s="33"/>
      <c r="M3709"/>
      <c r="N3709"/>
      <c r="O3709"/>
      <c r="P3709"/>
      <c r="Q3709"/>
    </row>
    <row r="3710" spans="1:33" ht="14.25" x14ac:dyDescent="0.2">
      <c r="A3710" s="31"/>
      <c r="B3710" s="31"/>
      <c r="C3710" s="31" t="s">
        <v>42</v>
      </c>
      <c r="D3710" s="32" t="s">
        <v>43</v>
      </c>
      <c r="E3710" s="4">
        <f>[1]Source!AQ4545</f>
        <v>4.9400000000000004</v>
      </c>
      <c r="F3710" s="33"/>
      <c r="G3710" s="34" t="str">
        <f>[1]Source!DI4545</f>
        <v>)*1*12</v>
      </c>
      <c r="H3710" s="4">
        <f>[1]Source!AV4545</f>
        <v>1</v>
      </c>
      <c r="I3710" s="4"/>
      <c r="J3710" s="33"/>
      <c r="K3710" s="33">
        <f>[1]Source!U4545</f>
        <v>7000.9679999999998</v>
      </c>
      <c r="M3710"/>
      <c r="N3710"/>
      <c r="O3710"/>
      <c r="P3710"/>
      <c r="Q3710"/>
    </row>
    <row r="3711" spans="1:33" ht="15" x14ac:dyDescent="0.25">
      <c r="A3711" s="35"/>
      <c r="B3711" s="35"/>
      <c r="C3711" s="35"/>
      <c r="D3711" s="35"/>
      <c r="E3711" s="35"/>
      <c r="F3711" s="35"/>
      <c r="G3711" s="35"/>
      <c r="H3711" s="35"/>
      <c r="I3711" s="36">
        <f>J3705+J3706+J3708+J3709+SUM(J3707:J3707)</f>
        <v>4003357.3300000005</v>
      </c>
      <c r="J3711" s="36"/>
      <c r="K3711" s="37">
        <f>IF([1]Source!I4545&lt;&gt;0, ROUND(I3711/[1]Source!I4545, 2), 0)</f>
        <v>33898.03</v>
      </c>
      <c r="M3711"/>
      <c r="N3711"/>
      <c r="O3711"/>
      <c r="P3711"/>
      <c r="Q3711"/>
      <c r="AA3711" s="38">
        <f>I3711</f>
        <v>4003357.3300000005</v>
      </c>
    </row>
    <row r="3712" spans="1:33" ht="42.75" x14ac:dyDescent="0.2">
      <c r="A3712" s="31">
        <v>461</v>
      </c>
      <c r="B3712" s="31" t="str">
        <f>[1]Source!F4547</f>
        <v>2.12-1101-23-2/1</v>
      </c>
      <c r="C3712" s="31" t="str">
        <f>[1]Source!G4547</f>
        <v>Очистка искусственных прудов на территории парка "Зарядье" - очистка камней-валунов береговой линии</v>
      </c>
      <c r="D3712" s="32" t="str">
        <f>[1]Source!H4547</f>
        <v>10 м2</v>
      </c>
      <c r="E3712" s="4">
        <f>[1]Source!I4547</f>
        <v>40.123199999999997</v>
      </c>
      <c r="F3712" s="33"/>
      <c r="G3712" s="34"/>
      <c r="H3712" s="4"/>
      <c r="I3712" s="4"/>
      <c r="J3712" s="33"/>
      <c r="K3712" s="33"/>
      <c r="M3712"/>
      <c r="N3712"/>
      <c r="O3712"/>
      <c r="P3712"/>
      <c r="Q3712"/>
      <c r="AB3712">
        <f>ROUND(([1]Source!BZ4547/100)*ROUND(([1]Source!AF4547*[1]Source!AV4547)*[1]Source!I4547, 2), 2)</f>
        <v>449921.35</v>
      </c>
      <c r="AC3712">
        <f>[1]Source!X4547</f>
        <v>449921.35</v>
      </c>
      <c r="AD3712">
        <f>ROUND(([1]Source!CA4547/100)*ROUND(([1]Source!AF4547*[1]Source!AV4547)*[1]Source!I4547, 2), 2)</f>
        <v>64274.48</v>
      </c>
      <c r="AE3712">
        <f>[1]Source!Y4547</f>
        <v>64274.48</v>
      </c>
      <c r="AF3712">
        <f>ROUND((175/100)*ROUND(([1]Source!AE4547*[1]Source!AV4547)*[1]Source!I4547, 2), 2)</f>
        <v>33.71</v>
      </c>
      <c r="AG3712">
        <f>ROUND((108/100)*ROUND([1]Source!CS4547*[1]Source!I4547, 2), 2)</f>
        <v>20.8</v>
      </c>
    </row>
    <row r="3713" spans="1:33" x14ac:dyDescent="0.2">
      <c r="C3713" s="40" t="str">
        <f>"Объем: "&amp;[1]Source!I4547&amp;"=401,232/"&amp;"10"</f>
        <v>Объем: 40,1232=401,232/10</v>
      </c>
      <c r="M3713"/>
      <c r="N3713"/>
      <c r="O3713"/>
      <c r="P3713"/>
      <c r="Q3713"/>
    </row>
    <row r="3714" spans="1:33" ht="14.25" x14ac:dyDescent="0.2">
      <c r="A3714" s="31"/>
      <c r="B3714" s="31"/>
      <c r="C3714" s="31" t="s">
        <v>34</v>
      </c>
      <c r="D3714" s="32"/>
      <c r="E3714" s="4"/>
      <c r="F3714" s="33">
        <f>[1]Source!AO4547</f>
        <v>1334.94</v>
      </c>
      <c r="G3714" s="34" t="str">
        <f>[1]Source!DG4547</f>
        <v>)*1*12</v>
      </c>
      <c r="H3714" s="4">
        <f>[1]Source!AV4547</f>
        <v>1</v>
      </c>
      <c r="I3714" s="4">
        <f>IF([1]Source!BA4547&lt;&gt; 0, [1]Source!BA4547, 1)</f>
        <v>1</v>
      </c>
      <c r="J3714" s="33">
        <f>[1]Source!S4547</f>
        <v>642744.78</v>
      </c>
      <c r="K3714" s="33"/>
      <c r="M3714"/>
      <c r="N3714"/>
      <c r="O3714"/>
      <c r="P3714"/>
      <c r="Q3714"/>
    </row>
    <row r="3715" spans="1:33" ht="14.25" x14ac:dyDescent="0.2">
      <c r="A3715" s="31"/>
      <c r="B3715" s="31"/>
      <c r="C3715" s="31" t="s">
        <v>33</v>
      </c>
      <c r="D3715" s="32"/>
      <c r="E3715" s="4"/>
      <c r="F3715" s="33">
        <f>[1]Source!AM4547</f>
        <v>59.85</v>
      </c>
      <c r="G3715" s="34" t="str">
        <f>[1]Source!DE4547</f>
        <v>)*1*12</v>
      </c>
      <c r="H3715" s="4">
        <f>[1]Source!AV4547</f>
        <v>1</v>
      </c>
      <c r="I3715" s="4">
        <f>IF([1]Source!BB4547&lt;&gt; 0, [1]Source!BB4547, 1)</f>
        <v>1</v>
      </c>
      <c r="J3715" s="33">
        <f>[1]Source!Q4547</f>
        <v>28816.48</v>
      </c>
      <c r="K3715" s="33"/>
      <c r="M3715"/>
      <c r="N3715"/>
      <c r="O3715"/>
      <c r="P3715"/>
      <c r="Q3715"/>
    </row>
    <row r="3716" spans="1:33" ht="14.25" x14ac:dyDescent="0.2">
      <c r="A3716" s="31"/>
      <c r="B3716" s="31"/>
      <c r="C3716" s="31" t="s">
        <v>37</v>
      </c>
      <c r="D3716" s="32"/>
      <c r="E3716" s="4"/>
      <c r="F3716" s="33">
        <f>[1]Source!AN4547</f>
        <v>0.04</v>
      </c>
      <c r="G3716" s="34" t="str">
        <f>[1]Source!DF4547</f>
        <v>)*1*12</v>
      </c>
      <c r="H3716" s="4">
        <f>[1]Source!AV4547</f>
        <v>1</v>
      </c>
      <c r="I3716" s="4">
        <f>IF([1]Source!BS4547&lt;&gt; 0, [1]Source!BS4547, 1)</f>
        <v>1</v>
      </c>
      <c r="J3716" s="41">
        <f>[1]Source!R4547</f>
        <v>19.260000000000002</v>
      </c>
      <c r="K3716" s="33"/>
      <c r="M3716"/>
      <c r="N3716"/>
      <c r="O3716"/>
      <c r="P3716"/>
      <c r="Q3716"/>
    </row>
    <row r="3717" spans="1:33" ht="14.25" x14ac:dyDescent="0.2">
      <c r="A3717" s="31"/>
      <c r="B3717" s="31"/>
      <c r="C3717" s="31" t="s">
        <v>40</v>
      </c>
      <c r="D3717" s="32" t="s">
        <v>39</v>
      </c>
      <c r="E3717" s="4">
        <f>[1]Source!AT4547</f>
        <v>70</v>
      </c>
      <c r="F3717" s="33"/>
      <c r="G3717" s="34"/>
      <c r="H3717" s="4"/>
      <c r="I3717" s="4"/>
      <c r="J3717" s="33">
        <f>SUM(AC3712:AC3716)</f>
        <v>449921.35</v>
      </c>
      <c r="K3717" s="33"/>
      <c r="M3717"/>
      <c r="N3717"/>
      <c r="O3717"/>
      <c r="P3717"/>
      <c r="Q3717"/>
    </row>
    <row r="3718" spans="1:33" ht="14.25" x14ac:dyDescent="0.2">
      <c r="A3718" s="31"/>
      <c r="B3718" s="31"/>
      <c r="C3718" s="31" t="s">
        <v>41</v>
      </c>
      <c r="D3718" s="32" t="s">
        <v>39</v>
      </c>
      <c r="E3718" s="4">
        <f>[1]Source!AU4547</f>
        <v>10</v>
      </c>
      <c r="F3718" s="33"/>
      <c r="G3718" s="34"/>
      <c r="H3718" s="4"/>
      <c r="I3718" s="4"/>
      <c r="J3718" s="33">
        <f>SUM(AE3712:AE3717)</f>
        <v>64274.48</v>
      </c>
      <c r="K3718" s="33"/>
      <c r="M3718"/>
      <c r="N3718"/>
      <c r="O3718"/>
      <c r="P3718"/>
      <c r="Q3718"/>
    </row>
    <row r="3719" spans="1:33" ht="14.25" x14ac:dyDescent="0.2">
      <c r="A3719" s="31"/>
      <c r="B3719" s="31"/>
      <c r="C3719" s="31" t="s">
        <v>38</v>
      </c>
      <c r="D3719" s="32" t="s">
        <v>39</v>
      </c>
      <c r="E3719" s="4">
        <f>108</f>
        <v>108</v>
      </c>
      <c r="F3719" s="33"/>
      <c r="G3719" s="34"/>
      <c r="H3719" s="4"/>
      <c r="I3719" s="4"/>
      <c r="J3719" s="33">
        <f>SUM(AG3712:AG3718)</f>
        <v>20.8</v>
      </c>
      <c r="K3719" s="33"/>
      <c r="M3719"/>
      <c r="N3719"/>
      <c r="O3719"/>
      <c r="P3719"/>
      <c r="Q3719"/>
    </row>
    <row r="3720" spans="1:33" ht="14.25" x14ac:dyDescent="0.2">
      <c r="A3720" s="31"/>
      <c r="B3720" s="31"/>
      <c r="C3720" s="31" t="s">
        <v>42</v>
      </c>
      <c r="D3720" s="32" t="s">
        <v>43</v>
      </c>
      <c r="E3720" s="4">
        <f>[1]Source!AQ4547</f>
        <v>4.34</v>
      </c>
      <c r="F3720" s="33"/>
      <c r="G3720" s="34" t="str">
        <f>[1]Source!DI4547</f>
        <v>)*1*12</v>
      </c>
      <c r="H3720" s="4">
        <f>[1]Source!AV4547</f>
        <v>1</v>
      </c>
      <c r="I3720" s="4"/>
      <c r="J3720" s="33"/>
      <c r="K3720" s="33">
        <f>[1]Source!U4547</f>
        <v>2089.6162559999998</v>
      </c>
      <c r="M3720"/>
      <c r="N3720"/>
      <c r="O3720"/>
      <c r="P3720"/>
      <c r="Q3720"/>
    </row>
    <row r="3721" spans="1:33" ht="15" x14ac:dyDescent="0.25">
      <c r="A3721" s="35"/>
      <c r="B3721" s="35"/>
      <c r="C3721" s="35"/>
      <c r="D3721" s="35"/>
      <c r="E3721" s="35"/>
      <c r="F3721" s="35"/>
      <c r="G3721" s="35"/>
      <c r="H3721" s="35"/>
      <c r="I3721" s="36">
        <f>J3714+J3715+J3717+J3718+J3719</f>
        <v>1185777.8899999999</v>
      </c>
      <c r="J3721" s="36"/>
      <c r="K3721" s="37">
        <f>IF([1]Source!I4547&lt;&gt;0, ROUND(I3721/[1]Source!I4547, 2), 0)</f>
        <v>29553.42</v>
      </c>
      <c r="M3721"/>
      <c r="N3721"/>
      <c r="O3721"/>
      <c r="P3721"/>
      <c r="Q3721"/>
      <c r="AA3721" s="38">
        <f>I3721</f>
        <v>1185777.8899999999</v>
      </c>
    </row>
    <row r="3722" spans="1:33" ht="42.75" x14ac:dyDescent="0.2">
      <c r="A3722" s="31">
        <v>462</v>
      </c>
      <c r="B3722" s="31" t="str">
        <f>[1]Source!F4548</f>
        <v>2.12-1101-23-3/1</v>
      </c>
      <c r="C3722" s="31" t="str">
        <f>[1]Source!G4548</f>
        <v>Очистка искусственных прудов на территории парка "Зарядье" - биологическая очистка</v>
      </c>
      <c r="D3722" s="32" t="str">
        <f>[1]Source!H4548</f>
        <v>шт.</v>
      </c>
      <c r="E3722" s="4">
        <f>[1]Source!I4548</f>
        <v>1</v>
      </c>
      <c r="F3722" s="33"/>
      <c r="G3722" s="34"/>
      <c r="H3722" s="4"/>
      <c r="I3722" s="4"/>
      <c r="J3722" s="33"/>
      <c r="K3722" s="33"/>
      <c r="M3722"/>
      <c r="N3722"/>
      <c r="O3722"/>
      <c r="P3722"/>
      <c r="Q3722"/>
      <c r="AB3722">
        <f>ROUND(([1]Source!BZ4548/100)*ROUND(([1]Source!AF4548*[1]Source!AV4548)*[1]Source!I4548, 2), 2)</f>
        <v>258.38</v>
      </c>
      <c r="AC3722">
        <f>[1]Source!X4548</f>
        <v>258.38</v>
      </c>
      <c r="AD3722">
        <f>ROUND(([1]Source!CA4548/100)*ROUND(([1]Source!AF4548*[1]Source!AV4548)*[1]Source!I4548, 2), 2)</f>
        <v>36.909999999999997</v>
      </c>
      <c r="AE3722">
        <f>[1]Source!Y4548</f>
        <v>36.909999999999997</v>
      </c>
      <c r="AF3722">
        <f>ROUND((175/100)*ROUND(([1]Source!AE4548*[1]Source!AV4548)*[1]Source!I4548, 2), 2)</f>
        <v>0</v>
      </c>
      <c r="AG3722">
        <f>ROUND((108/100)*ROUND([1]Source!CS4548*[1]Source!I4548, 2), 2)</f>
        <v>0</v>
      </c>
    </row>
    <row r="3723" spans="1:33" ht="14.25" x14ac:dyDescent="0.2">
      <c r="A3723" s="31"/>
      <c r="B3723" s="31"/>
      <c r="C3723" s="31" t="s">
        <v>34</v>
      </c>
      <c r="D3723" s="32"/>
      <c r="E3723" s="4"/>
      <c r="F3723" s="33">
        <f>[1]Source!AO4548</f>
        <v>92.28</v>
      </c>
      <c r="G3723" s="34" t="str">
        <f>[1]Source!DG4548</f>
        <v>)*1*4</v>
      </c>
      <c r="H3723" s="4">
        <f>[1]Source!AV4548</f>
        <v>1</v>
      </c>
      <c r="I3723" s="4">
        <f>IF([1]Source!BA4548&lt;&gt; 0, [1]Source!BA4548, 1)</f>
        <v>1</v>
      </c>
      <c r="J3723" s="33">
        <f>[1]Source!S4548</f>
        <v>369.12</v>
      </c>
      <c r="K3723" s="33"/>
      <c r="M3723"/>
      <c r="N3723"/>
      <c r="O3723"/>
      <c r="P3723"/>
      <c r="Q3723"/>
    </row>
    <row r="3724" spans="1:33" ht="71.25" x14ac:dyDescent="0.2">
      <c r="A3724" s="31" t="s">
        <v>185</v>
      </c>
      <c r="B3724" s="31" t="str">
        <f>[1]Source!F4549</f>
        <v>21.1-25-1155</v>
      </c>
      <c r="C3724" s="31" t="str">
        <f>[1]Source!G4549</f>
        <v>Средство концентрированное альгицидное для борьбы с нитевидными водорослями, ряской в прудах и водоемах, типа "Тетра Понд АлгоФин"</v>
      </c>
      <c r="D3724" s="32" t="str">
        <f>[1]Source!H4549</f>
        <v>л</v>
      </c>
      <c r="E3724" s="4">
        <f>[1]Source!I4549</f>
        <v>126</v>
      </c>
      <c r="F3724" s="33">
        <f>[1]Source!AK4549</f>
        <v>997.93</v>
      </c>
      <c r="G3724" s="39" t="s">
        <v>127</v>
      </c>
      <c r="H3724" s="4">
        <f>[1]Source!AW4549</f>
        <v>1</v>
      </c>
      <c r="I3724" s="4">
        <f>IF([1]Source!BC4549&lt;&gt; 0, [1]Source!BC4549, 1)</f>
        <v>1</v>
      </c>
      <c r="J3724" s="33">
        <f>[1]Source!O4549</f>
        <v>125739.18</v>
      </c>
      <c r="K3724" s="33"/>
      <c r="M3724"/>
      <c r="N3724"/>
      <c r="O3724"/>
      <c r="P3724"/>
      <c r="Q3724"/>
      <c r="AB3724">
        <f>ROUND(([1]Source!BZ4549/100)*ROUND(([1]Source!AF4549*[1]Source!AV4549)*[1]Source!I4549, 2), 2)</f>
        <v>0</v>
      </c>
      <c r="AC3724">
        <f>[1]Source!X4549</f>
        <v>0</v>
      </c>
      <c r="AD3724">
        <f>ROUND(([1]Source!CA4549/100)*ROUND(([1]Source!AF4549*[1]Source!AV4549)*[1]Source!I4549, 2), 2)</f>
        <v>0</v>
      </c>
      <c r="AE3724">
        <f>[1]Source!Y4549</f>
        <v>0</v>
      </c>
      <c r="AF3724">
        <f>ROUND((175/100)*ROUND(([1]Source!AE4549*[1]Source!AV4549)*[1]Source!I4549, 2), 2)</f>
        <v>0</v>
      </c>
      <c r="AG3724">
        <f>ROUND((108/100)*ROUND([1]Source!CS4549*[1]Source!I4549, 2), 2)</f>
        <v>0</v>
      </c>
    </row>
    <row r="3725" spans="1:33" ht="57" x14ac:dyDescent="0.2">
      <c r="A3725" s="31" t="s">
        <v>186</v>
      </c>
      <c r="B3725" s="31" t="str">
        <f>[1]Source!F4550</f>
        <v>21.1-25-1156</v>
      </c>
      <c r="C3725" s="31" t="str">
        <f>[1]Source!G4550</f>
        <v>Средство концентрированное биологическое с микроорганизмами высокоэффективное для очистки прудов и водоемов, типа BB-P100</v>
      </c>
      <c r="D3725" s="32" t="str">
        <f>[1]Source!H4550</f>
        <v>кг</v>
      </c>
      <c r="E3725" s="4">
        <f>[1]Source!I4550</f>
        <v>126</v>
      </c>
      <c r="F3725" s="33">
        <f>[1]Source!AK4550</f>
        <v>1361.45</v>
      </c>
      <c r="G3725" s="39" t="s">
        <v>127</v>
      </c>
      <c r="H3725" s="4">
        <f>[1]Source!AW4550</f>
        <v>1</v>
      </c>
      <c r="I3725" s="4">
        <f>IF([1]Source!BC4550&lt;&gt; 0, [1]Source!BC4550, 1)</f>
        <v>1</v>
      </c>
      <c r="J3725" s="33">
        <f>[1]Source!O4550</f>
        <v>171542.7</v>
      </c>
      <c r="K3725" s="33"/>
      <c r="M3725"/>
      <c r="N3725"/>
      <c r="O3725"/>
      <c r="P3725"/>
      <c r="Q3725"/>
      <c r="AB3725">
        <f>ROUND(([1]Source!BZ4550/100)*ROUND(([1]Source!AF4550*[1]Source!AV4550)*[1]Source!I4550, 2), 2)</f>
        <v>0</v>
      </c>
      <c r="AC3725">
        <f>[1]Source!X4550</f>
        <v>0</v>
      </c>
      <c r="AD3725">
        <f>ROUND(([1]Source!CA4550/100)*ROUND(([1]Source!AF4550*[1]Source!AV4550)*[1]Source!I4550, 2), 2)</f>
        <v>0</v>
      </c>
      <c r="AE3725">
        <f>[1]Source!Y4550</f>
        <v>0</v>
      </c>
      <c r="AF3725">
        <f>ROUND((175/100)*ROUND(([1]Source!AE4550*[1]Source!AV4550)*[1]Source!I4550, 2), 2)</f>
        <v>0</v>
      </c>
      <c r="AG3725">
        <f>ROUND((108/100)*ROUND([1]Source!CS4550*[1]Source!I4550, 2), 2)</f>
        <v>0</v>
      </c>
    </row>
    <row r="3726" spans="1:33" ht="14.25" x14ac:dyDescent="0.2">
      <c r="A3726" s="31"/>
      <c r="B3726" s="31"/>
      <c r="C3726" s="31" t="s">
        <v>40</v>
      </c>
      <c r="D3726" s="32" t="s">
        <v>39</v>
      </c>
      <c r="E3726" s="4">
        <f>[1]Source!AT4548</f>
        <v>70</v>
      </c>
      <c r="F3726" s="33"/>
      <c r="G3726" s="34"/>
      <c r="H3726" s="4"/>
      <c r="I3726" s="4"/>
      <c r="J3726" s="33">
        <f>SUM(AC3722:AC3725)</f>
        <v>258.38</v>
      </c>
      <c r="K3726" s="33"/>
      <c r="M3726"/>
      <c r="N3726"/>
      <c r="O3726"/>
      <c r="P3726"/>
      <c r="Q3726"/>
    </row>
    <row r="3727" spans="1:33" ht="14.25" x14ac:dyDescent="0.2">
      <c r="A3727" s="31"/>
      <c r="B3727" s="31"/>
      <c r="C3727" s="31" t="s">
        <v>41</v>
      </c>
      <c r="D3727" s="32" t="s">
        <v>39</v>
      </c>
      <c r="E3727" s="4">
        <f>[1]Source!AU4548</f>
        <v>10</v>
      </c>
      <c r="F3727" s="33"/>
      <c r="G3727" s="34"/>
      <c r="H3727" s="4"/>
      <c r="I3727" s="4"/>
      <c r="J3727" s="33">
        <f>SUM(AE3722:AE3726)</f>
        <v>36.909999999999997</v>
      </c>
      <c r="K3727" s="33"/>
      <c r="M3727"/>
      <c r="N3727"/>
      <c r="O3727"/>
      <c r="P3727"/>
      <c r="Q3727"/>
    </row>
    <row r="3728" spans="1:33" ht="14.25" x14ac:dyDescent="0.2">
      <c r="A3728" s="31"/>
      <c r="B3728" s="31"/>
      <c r="C3728" s="31" t="s">
        <v>42</v>
      </c>
      <c r="D3728" s="32" t="s">
        <v>43</v>
      </c>
      <c r="E3728" s="4">
        <f>[1]Source!AQ4548</f>
        <v>0.3</v>
      </c>
      <c r="F3728" s="33"/>
      <c r="G3728" s="34" t="str">
        <f>[1]Source!DI4548</f>
        <v>)*1*4</v>
      </c>
      <c r="H3728" s="4">
        <f>[1]Source!AV4548</f>
        <v>1</v>
      </c>
      <c r="I3728" s="4"/>
      <c r="J3728" s="33"/>
      <c r="K3728" s="33">
        <f>[1]Source!U4548</f>
        <v>1.2</v>
      </c>
      <c r="M3728"/>
      <c r="N3728"/>
      <c r="O3728"/>
      <c r="P3728"/>
      <c r="Q3728"/>
    </row>
    <row r="3729" spans="1:42" ht="15" x14ac:dyDescent="0.25">
      <c r="A3729" s="35"/>
      <c r="B3729" s="35"/>
      <c r="C3729" s="35"/>
      <c r="D3729" s="35"/>
      <c r="E3729" s="35"/>
      <c r="F3729" s="35"/>
      <c r="G3729" s="35"/>
      <c r="H3729" s="35"/>
      <c r="I3729" s="36">
        <f>J3723+J3726+J3727+SUM(J3724:J3725)</f>
        <v>297946.28999999998</v>
      </c>
      <c r="J3729" s="36"/>
      <c r="K3729" s="37">
        <f>IF([1]Source!I4548&lt;&gt;0, ROUND(I3729/[1]Source!I4548, 2), 0)</f>
        <v>297946.28999999998</v>
      </c>
      <c r="M3729"/>
      <c r="N3729"/>
      <c r="O3729"/>
      <c r="P3729"/>
      <c r="Q3729"/>
      <c r="AA3729" s="38">
        <f>I3729</f>
        <v>297946.28999999998</v>
      </c>
    </row>
    <row r="3730" spans="1:42" x14ac:dyDescent="0.2">
      <c r="M3730"/>
      <c r="N3730"/>
      <c r="O3730"/>
      <c r="P3730"/>
      <c r="Q3730"/>
    </row>
    <row r="3731" spans="1:42" ht="15" x14ac:dyDescent="0.25">
      <c r="A3731" s="42" t="str">
        <f>CONCATENATE("Итого по разделу: ",IF([1]Source!G4552&lt;&gt;"Новый раздел", [1]Source!G4552, ""))</f>
        <v>Итого по разделу: Очистка искусственных прудов</v>
      </c>
      <c r="B3731" s="42"/>
      <c r="C3731" s="42"/>
      <c r="D3731" s="42"/>
      <c r="E3731" s="42"/>
      <c r="F3731" s="42"/>
      <c r="G3731" s="42"/>
      <c r="H3731" s="42"/>
      <c r="I3731" s="43">
        <f>SUM(AA3702:AA3730)</f>
        <v>5487081.5100000007</v>
      </c>
      <c r="J3731" s="44"/>
      <c r="K3731" s="47"/>
      <c r="L3731" s="38">
        <f>I3731</f>
        <v>5487081.5100000007</v>
      </c>
      <c r="M3731" s="2">
        <f>ROUND(I3731*$I$4874,2)</f>
        <v>3962807.84</v>
      </c>
      <c r="N3731" s="2">
        <f>ROUND(M3731*1.2/105*100,2)</f>
        <v>4528923.25</v>
      </c>
      <c r="O3731" s="2">
        <f>ROUND(N3731*0.05,2)</f>
        <v>226446.16</v>
      </c>
      <c r="P3731" s="2">
        <f>N3731+O3731</f>
        <v>4755369.41</v>
      </c>
      <c r="Q3731" s="3">
        <v>132</v>
      </c>
      <c r="R3731">
        <v>2</v>
      </c>
      <c r="S3731" s="2">
        <v>0</v>
      </c>
    </row>
    <row r="3732" spans="1:42" x14ac:dyDescent="0.2">
      <c r="M3732"/>
      <c r="N3732"/>
      <c r="O3732"/>
      <c r="P3732"/>
      <c r="Q3732"/>
    </row>
    <row r="3733" spans="1:42" x14ac:dyDescent="0.2">
      <c r="M3733"/>
      <c r="N3733"/>
      <c r="O3733"/>
      <c r="P3733"/>
      <c r="Q3733"/>
    </row>
    <row r="3734" spans="1:42" ht="15" x14ac:dyDescent="0.25">
      <c r="A3734" s="42" t="str">
        <f>CONCATENATE("Итого по локальной смете: ",IF([1]Source!G4582&lt;&gt;"Новая локальная смета", [1]Source!G4582, ""))</f>
        <v>Итого по локальной смете: Летняя уборка территории</v>
      </c>
      <c r="B3734" s="42"/>
      <c r="C3734" s="42"/>
      <c r="D3734" s="42"/>
      <c r="E3734" s="42"/>
      <c r="F3734" s="42"/>
      <c r="G3734" s="42"/>
      <c r="H3734" s="42"/>
      <c r="I3734" s="43">
        <f>SUM(AA2522:AA3733)</f>
        <v>66913251.570000023</v>
      </c>
      <c r="J3734" s="44"/>
      <c r="K3734" s="47"/>
      <c r="L3734" s="38">
        <f>I3734</f>
        <v>66913251.570000023</v>
      </c>
      <c r="M3734" s="2">
        <f>ROUND(I3734*$I$4874,2)</f>
        <v>48325208.490000002</v>
      </c>
      <c r="N3734" s="2">
        <f>ROUND(M3734*1.2/105*100,2)</f>
        <v>55228809.700000003</v>
      </c>
      <c r="O3734" s="2">
        <f>ROUND(N3734*0.05,2)</f>
        <v>2761440.49</v>
      </c>
      <c r="P3734" s="2">
        <f>$P$3731+$P$3699+$P$3654+$P$3607+$P$3573+$P$3540+$P$3398+$P$3389+$P$3380+$P$3368+$P$3359+$P$3345+$P$3333+$P$3290+$P$3281+$P$3255+$P$3181+$P$3156+$P$3135+$P$3112+$P$3083+$P$3061+$P$3038+$P$3017+$P$2996+$P$2954+$P$2933+$P$2860+$P$2839+$P$2808+$P$2777+$P$2749+$P$2721+$P$2693+$P$2650+$P$2607+$P$2564</f>
        <v>57990250.190000005</v>
      </c>
      <c r="Q3734" s="48"/>
      <c r="R3734">
        <v>3</v>
      </c>
      <c r="Z3734" s="2">
        <f>$P$3731+$P$3699+$P$3654+$P$3607+$P$3573+$P$3540+$P$3398+$P$3389+$P$3380+$P$3368+$P$3359+$P$3345+$P$3333+$P$3290+$P$3281+$P$3255+$P$3181+$P$3156+$P$3135+$P$3112+$P$3083+$P$3061+$P$3038+$P$3017+$P$2996+$P$2954+$P$2933+$P$2860+$P$2839+$P$2808+$P$2777+$P$2749+$P$2721+$P$2693+$P$2650+$P$2607+$P$2564</f>
        <v>57990250.190000005</v>
      </c>
    </row>
    <row r="3735" spans="1:42" x14ac:dyDescent="0.2">
      <c r="M3735"/>
      <c r="N3735"/>
      <c r="O3735"/>
      <c r="P3735"/>
      <c r="Q3735"/>
    </row>
    <row r="3736" spans="1:42" x14ac:dyDescent="0.2">
      <c r="M3736"/>
      <c r="N3736"/>
      <c r="O3736"/>
      <c r="P3736"/>
      <c r="Q3736"/>
    </row>
    <row r="3737" spans="1:42" ht="16.5" x14ac:dyDescent="0.25">
      <c r="A3737" s="29" t="str">
        <f>CONCATENATE("Локальная смета: ",IF([1]Source!G4612&lt;&gt;"Новая локальная смета", [1]Source!G4612, ""))</f>
        <v>Локальная смета: Зимняя уборка территории ( доп. соглашение )</v>
      </c>
      <c r="B3737" s="29"/>
      <c r="C3737" s="29"/>
      <c r="D3737" s="29"/>
      <c r="E3737" s="29"/>
      <c r="F3737" s="29"/>
      <c r="G3737" s="29"/>
      <c r="H3737" s="29"/>
      <c r="I3737" s="29"/>
      <c r="J3737" s="29"/>
      <c r="K3737" s="29"/>
      <c r="M3737"/>
      <c r="N3737"/>
      <c r="O3737"/>
      <c r="P3737"/>
      <c r="Q3737"/>
    </row>
    <row r="3738" spans="1:42" x14ac:dyDescent="0.2">
      <c r="M3738"/>
      <c r="N3738"/>
      <c r="O3738"/>
      <c r="P3738"/>
      <c r="Q3738"/>
    </row>
    <row r="3739" spans="1:42" ht="16.5" x14ac:dyDescent="0.25">
      <c r="A3739" s="29" t="str">
        <f>CONCATENATE("Раздел: ",IF([1]Source!G4616&lt;&gt;"Новый раздел", [1]Source!G4616, ""))</f>
        <v>Раздел: ул. Варварка</v>
      </c>
      <c r="B3739" s="29"/>
      <c r="C3739" s="29"/>
      <c r="D3739" s="29"/>
      <c r="E3739" s="29"/>
      <c r="F3739" s="29"/>
      <c r="G3739" s="29"/>
      <c r="H3739" s="29"/>
      <c r="I3739" s="29"/>
      <c r="J3739" s="29"/>
      <c r="K3739" s="29"/>
      <c r="M3739"/>
      <c r="N3739"/>
      <c r="O3739"/>
      <c r="P3739"/>
      <c r="Q3739"/>
    </row>
    <row r="3740" spans="1:42" x14ac:dyDescent="0.2">
      <c r="M3740"/>
      <c r="N3740"/>
      <c r="O3740"/>
      <c r="P3740"/>
      <c r="Q3740"/>
    </row>
    <row r="3741" spans="1:42" ht="33" x14ac:dyDescent="0.25">
      <c r="A3741" s="29" t="str">
        <f>CONCATENATE("Подраздел: ",IF([1]Source!G4620&lt;&gt;"Новый подраздел", [1]Source!G4620, ""))</f>
        <v>Подраздел: Содержание плиточного покрытия тротуара из гранитной плитки , пескоуловитель из фибробетона ( S= 2485,6 м2 + 21,48 м2= 2507,08 м2)</v>
      </c>
      <c r="B3741" s="29"/>
      <c r="C3741" s="29"/>
      <c r="D3741" s="29"/>
      <c r="E3741" s="29"/>
      <c r="F3741" s="29"/>
      <c r="G3741" s="29"/>
      <c r="H3741" s="29"/>
      <c r="I3741" s="29"/>
      <c r="J3741" s="29"/>
      <c r="K3741" s="29"/>
      <c r="M3741"/>
      <c r="N3741"/>
      <c r="O3741"/>
      <c r="P3741"/>
      <c r="Q3741"/>
      <c r="AP3741" s="30" t="str">
        <f>CONCATENATE("Подраздел: ",IF([1]Source!G4620&lt;&gt;"Новый подраздел", [1]Source!G4620, ""))</f>
        <v>Подраздел: Содержание плиточного покрытия тротуара из гранитной плитки , пескоуловитель из фибробетона ( S= 2485,6 м2 + 21,48 м2= 2507,08 м2)</v>
      </c>
    </row>
    <row r="3742" spans="1:42" ht="42.75" x14ac:dyDescent="0.2">
      <c r="A3742" s="31">
        <v>463</v>
      </c>
      <c r="B3742" s="31" t="str">
        <f>[1]Source!F4624</f>
        <v>калькуляция</v>
      </c>
      <c r="C3742" s="31" t="str">
        <f>[1]Source!G4624</f>
        <v>Подметание дорожек  механизированным способом ( S=2507,08 м2 *0,7=1754,96 м2)</v>
      </c>
      <c r="D3742" s="32" t="str">
        <f>[1]Source!H4624</f>
        <v>м2</v>
      </c>
      <c r="E3742" s="4">
        <f>[1]Source!I4624</f>
        <v>1754.96</v>
      </c>
      <c r="F3742" s="33"/>
      <c r="G3742" s="34"/>
      <c r="H3742" s="4"/>
      <c r="I3742" s="4"/>
      <c r="J3742" s="33"/>
      <c r="K3742" s="33"/>
      <c r="M3742"/>
      <c r="N3742"/>
      <c r="O3742"/>
      <c r="P3742"/>
      <c r="Q3742"/>
      <c r="AB3742">
        <f>ROUND(([1]Source!BZ4624/100)*ROUND(([1]Source!AF4624*[1]Source!AV4624)*[1]Source!I4624, 2), 2)</f>
        <v>0</v>
      </c>
      <c r="AC3742">
        <f>[1]Source!X4624</f>
        <v>0</v>
      </c>
      <c r="AD3742">
        <f>ROUND(([1]Source!CA4624/100)*ROUND(([1]Source!AF4624*[1]Source!AV4624)*[1]Source!I4624, 2), 2)</f>
        <v>0</v>
      </c>
      <c r="AE3742">
        <f>[1]Source!Y4624</f>
        <v>0</v>
      </c>
      <c r="AF3742">
        <f>ROUND((175/100)*ROUND(([1]Source!AE4624*[1]Source!AV4624)*[1]Source!I4624, 2), 2)</f>
        <v>0</v>
      </c>
      <c r="AG3742">
        <f>ROUND((108/100)*ROUND([1]Source!CS4624*[1]Source!I4624, 2), 2)</f>
        <v>0</v>
      </c>
    </row>
    <row r="3743" spans="1:42" ht="14.25" x14ac:dyDescent="0.2">
      <c r="A3743" s="31"/>
      <c r="B3743" s="31"/>
      <c r="C3743" s="31" t="s">
        <v>33</v>
      </c>
      <c r="D3743" s="32"/>
      <c r="E3743" s="4"/>
      <c r="F3743" s="33">
        <f>[1]Source!AM4624</f>
        <v>0.65</v>
      </c>
      <c r="G3743" s="34" t="str">
        <f>[1]Source!DE4624</f>
        <v>)*4*164</v>
      </c>
      <c r="H3743" s="4">
        <f>[1]Source!AV4624</f>
        <v>1</v>
      </c>
      <c r="I3743" s="4">
        <f>IF([1]Source!BB4624&lt;&gt; 0, [1]Source!BB4624, 1)</f>
        <v>1</v>
      </c>
      <c r="J3743" s="33">
        <f>[1]Source!Q4624</f>
        <v>748314.94</v>
      </c>
      <c r="K3743" s="33"/>
      <c r="M3743"/>
      <c r="N3743"/>
      <c r="O3743"/>
      <c r="P3743"/>
      <c r="Q3743"/>
    </row>
    <row r="3744" spans="1:42" ht="15" x14ac:dyDescent="0.25">
      <c r="A3744" s="35"/>
      <c r="B3744" s="35"/>
      <c r="C3744" s="35"/>
      <c r="D3744" s="35"/>
      <c r="E3744" s="35"/>
      <c r="F3744" s="35"/>
      <c r="G3744" s="35"/>
      <c r="H3744" s="35"/>
      <c r="I3744" s="36">
        <f>J3743</f>
        <v>748314.94</v>
      </c>
      <c r="J3744" s="36"/>
      <c r="K3744" s="37">
        <f>IF([1]Source!I4624&lt;&gt;0, ROUND(I3744/[1]Source!I4624, 2), 0)</f>
        <v>426.4</v>
      </c>
      <c r="M3744"/>
      <c r="N3744"/>
      <c r="O3744"/>
      <c r="P3744"/>
      <c r="Q3744"/>
      <c r="AA3744" s="38">
        <f>I3744</f>
        <v>748314.94</v>
      </c>
    </row>
    <row r="3745" spans="1:33" ht="28.5" x14ac:dyDescent="0.2">
      <c r="A3745" s="31">
        <v>464</v>
      </c>
      <c r="B3745" s="31" t="str">
        <f>[1]Source!F4625</f>
        <v>калькуляция</v>
      </c>
      <c r="C3745" s="31" t="str">
        <f>[1]Source!G4625</f>
        <v>Подметание дорожек  вручную ( S=2507,08 м2*0,3=752,12 м2)</v>
      </c>
      <c r="D3745" s="32" t="str">
        <f>[1]Source!H4625</f>
        <v>м2</v>
      </c>
      <c r="E3745" s="4">
        <f>[1]Source!I4625</f>
        <v>752.12</v>
      </c>
      <c r="F3745" s="33"/>
      <c r="G3745" s="34"/>
      <c r="H3745" s="4"/>
      <c r="I3745" s="4"/>
      <c r="J3745" s="33"/>
      <c r="K3745" s="33"/>
      <c r="M3745"/>
      <c r="N3745"/>
      <c r="O3745"/>
      <c r="P3745"/>
      <c r="Q3745"/>
      <c r="AB3745">
        <f>ROUND(([1]Source!BZ4625/100)*ROUND(([1]Source!AF4625*[1]Source!AV4625)*[1]Source!I4625, 2), 2)</f>
        <v>0</v>
      </c>
      <c r="AC3745">
        <f>[1]Source!X4625</f>
        <v>0</v>
      </c>
      <c r="AD3745">
        <f>ROUND(([1]Source!CA4625/100)*ROUND(([1]Source!AF4625*[1]Source!AV4625)*[1]Source!I4625, 2), 2)</f>
        <v>0</v>
      </c>
      <c r="AE3745">
        <f>[1]Source!Y4625</f>
        <v>0</v>
      </c>
      <c r="AF3745">
        <f>ROUND((175/100)*ROUND(([1]Source!AE4625*[1]Source!AV4625)*[1]Source!I4625, 2), 2)</f>
        <v>0</v>
      </c>
      <c r="AG3745">
        <f>ROUND((108/100)*ROUND([1]Source!CS4625*[1]Source!I4625, 2), 2)</f>
        <v>0</v>
      </c>
    </row>
    <row r="3746" spans="1:33" ht="14.25" x14ac:dyDescent="0.2">
      <c r="A3746" s="31"/>
      <c r="B3746" s="31"/>
      <c r="C3746" s="31" t="s">
        <v>34</v>
      </c>
      <c r="D3746" s="32"/>
      <c r="E3746" s="4"/>
      <c r="F3746" s="33">
        <f>[1]Source!AO4625</f>
        <v>1.32</v>
      </c>
      <c r="G3746" s="34" t="str">
        <f>[1]Source!DG4625</f>
        <v>)*4*164</v>
      </c>
      <c r="H3746" s="4">
        <f>[1]Source!AV4625</f>
        <v>1</v>
      </c>
      <c r="I3746" s="4">
        <f>IF([1]Source!BA4625&lt;&gt; 0, [1]Source!BA4625, 1)</f>
        <v>1</v>
      </c>
      <c r="J3746" s="33">
        <f>[1]Source!S4625</f>
        <v>651275.75</v>
      </c>
      <c r="K3746" s="33"/>
      <c r="M3746"/>
      <c r="N3746"/>
      <c r="O3746"/>
      <c r="P3746"/>
      <c r="Q3746"/>
    </row>
    <row r="3747" spans="1:33" ht="15" x14ac:dyDescent="0.25">
      <c r="A3747" s="35"/>
      <c r="B3747" s="35"/>
      <c r="C3747" s="35"/>
      <c r="D3747" s="35"/>
      <c r="E3747" s="35"/>
      <c r="F3747" s="35"/>
      <c r="G3747" s="35"/>
      <c r="H3747" s="35"/>
      <c r="I3747" s="36">
        <f>J3746</f>
        <v>651275.75</v>
      </c>
      <c r="J3747" s="36"/>
      <c r="K3747" s="37">
        <f>IF([1]Source!I4625&lt;&gt;0, ROUND(I3747/[1]Source!I4625, 2), 0)</f>
        <v>865.92</v>
      </c>
      <c r="M3747"/>
      <c r="N3747"/>
      <c r="O3747"/>
      <c r="P3747"/>
      <c r="Q3747"/>
      <c r="AA3747" s="38">
        <f>I3747</f>
        <v>651275.75</v>
      </c>
    </row>
    <row r="3748" spans="1:33" ht="28.5" x14ac:dyDescent="0.2">
      <c r="A3748" s="31">
        <v>465</v>
      </c>
      <c r="B3748" s="31" t="str">
        <f>[1]Source!F4626</f>
        <v>калькуляция</v>
      </c>
      <c r="C3748" s="31" t="str">
        <f>[1]Source!G4626</f>
        <v>Мытье дорожек  механизированным способом( 30% от2507,08 м2)</v>
      </c>
      <c r="D3748" s="32" t="str">
        <f>[1]Source!H4626</f>
        <v>м2</v>
      </c>
      <c r="E3748" s="4">
        <f>[1]Source!I4626</f>
        <v>752.12</v>
      </c>
      <c r="F3748" s="33"/>
      <c r="G3748" s="34"/>
      <c r="H3748" s="4"/>
      <c r="I3748" s="4"/>
      <c r="J3748" s="33"/>
      <c r="K3748" s="33"/>
      <c r="M3748"/>
      <c r="N3748"/>
      <c r="O3748"/>
      <c r="P3748"/>
      <c r="Q3748"/>
      <c r="AB3748">
        <f>ROUND(([1]Source!BZ4626/100)*ROUND(([1]Source!AF4626*[1]Source!AV4626)*[1]Source!I4626, 2), 2)</f>
        <v>0</v>
      </c>
      <c r="AC3748">
        <f>[1]Source!X4626</f>
        <v>0</v>
      </c>
      <c r="AD3748">
        <f>ROUND(([1]Source!CA4626/100)*ROUND(([1]Source!AF4626*[1]Source!AV4626)*[1]Source!I4626, 2), 2)</f>
        <v>0</v>
      </c>
      <c r="AE3748">
        <f>[1]Source!Y4626</f>
        <v>0</v>
      </c>
      <c r="AF3748">
        <f>ROUND((175/100)*ROUND(([1]Source!AE4626*[1]Source!AV4626)*[1]Source!I4626, 2), 2)</f>
        <v>0</v>
      </c>
      <c r="AG3748">
        <f>ROUND((108/100)*ROUND([1]Source!CS4626*[1]Source!I4626, 2), 2)</f>
        <v>0</v>
      </c>
    </row>
    <row r="3749" spans="1:33" ht="14.25" x14ac:dyDescent="0.2">
      <c r="A3749" s="31"/>
      <c r="B3749" s="31"/>
      <c r="C3749" s="31" t="s">
        <v>33</v>
      </c>
      <c r="D3749" s="32"/>
      <c r="E3749" s="4"/>
      <c r="F3749" s="33">
        <f>[1]Source!AM4626</f>
        <v>3.28</v>
      </c>
      <c r="G3749" s="34" t="str">
        <f>[1]Source!DE4626</f>
        <v>)*1*164</v>
      </c>
      <c r="H3749" s="4">
        <f>[1]Source!AV4626</f>
        <v>1</v>
      </c>
      <c r="I3749" s="4">
        <f>IF([1]Source!BB4626&lt;&gt; 0, [1]Source!BB4626, 1)</f>
        <v>1</v>
      </c>
      <c r="J3749" s="33">
        <f>[1]Source!Q4626</f>
        <v>404580.39</v>
      </c>
      <c r="K3749" s="33"/>
      <c r="M3749"/>
      <c r="N3749"/>
      <c r="O3749"/>
      <c r="P3749"/>
      <c r="Q3749"/>
    </row>
    <row r="3750" spans="1:33" ht="57" x14ac:dyDescent="0.2">
      <c r="A3750" s="31" t="s">
        <v>187</v>
      </c>
      <c r="B3750" s="31" t="str">
        <f>[1]Source!F4627</f>
        <v>цена поставщика</v>
      </c>
      <c r="C3750" s="31" t="str">
        <f>[1]Source!G4627</f>
        <v>Средство для механизированной мойки дорожных покрытий в зимнее время -ПГМ Жидкий хлористый кальций</v>
      </c>
      <c r="D3750" s="32" t="str">
        <f>[1]Source!H4627</f>
        <v>л</v>
      </c>
      <c r="E3750" s="4">
        <f>[1]Source!I4627</f>
        <v>37.004303999999998</v>
      </c>
      <c r="F3750" s="33">
        <f>[1]Source!AK4627</f>
        <v>11.77</v>
      </c>
      <c r="G3750" s="39" t="s">
        <v>36</v>
      </c>
      <c r="H3750" s="4">
        <f>[1]Source!AW4627</f>
        <v>1</v>
      </c>
      <c r="I3750" s="4">
        <f>IF([1]Source!BC4627&lt;&gt; 0, [1]Source!BC4627, 1)</f>
        <v>1</v>
      </c>
      <c r="J3750" s="33">
        <f>[1]Source!O4627</f>
        <v>435.54</v>
      </c>
      <c r="K3750" s="33"/>
      <c r="M3750"/>
      <c r="N3750"/>
      <c r="O3750"/>
      <c r="P3750"/>
      <c r="Q3750"/>
      <c r="AB3750">
        <f>ROUND(([1]Source!BZ4627/100)*ROUND(([1]Source!AF4627*[1]Source!AV4627)*[1]Source!I4627, 2), 2)</f>
        <v>0</v>
      </c>
      <c r="AC3750">
        <f>[1]Source!X4627</f>
        <v>0</v>
      </c>
      <c r="AD3750">
        <f>ROUND(([1]Source!CA4627/100)*ROUND(([1]Source!AF4627*[1]Source!AV4627)*[1]Source!I4627, 2), 2)</f>
        <v>0</v>
      </c>
      <c r="AE3750">
        <f>[1]Source!Y4627</f>
        <v>0</v>
      </c>
      <c r="AF3750">
        <f>ROUND((175/100)*ROUND(([1]Source!AE4627*[1]Source!AV4627)*[1]Source!I4627, 2), 2)</f>
        <v>0</v>
      </c>
      <c r="AG3750">
        <f>ROUND((108/100)*ROUND([1]Source!CS4627*[1]Source!I4627, 2), 2)</f>
        <v>0</v>
      </c>
    </row>
    <row r="3751" spans="1:33" ht="15" x14ac:dyDescent="0.25">
      <c r="A3751" s="35"/>
      <c r="B3751" s="35"/>
      <c r="C3751" s="35"/>
      <c r="D3751" s="35"/>
      <c r="E3751" s="35"/>
      <c r="F3751" s="35"/>
      <c r="G3751" s="35"/>
      <c r="H3751" s="35"/>
      <c r="I3751" s="36">
        <f>J3749+SUM(J3750:J3750)</f>
        <v>405015.93</v>
      </c>
      <c r="J3751" s="36"/>
      <c r="K3751" s="37">
        <f>IF([1]Source!I4626&lt;&gt;0, ROUND(I3751/[1]Source!I4626, 2), 0)</f>
        <v>538.5</v>
      </c>
      <c r="M3751"/>
      <c r="N3751"/>
      <c r="O3751"/>
      <c r="P3751"/>
      <c r="Q3751"/>
      <c r="AA3751" s="38">
        <f>I3751</f>
        <v>405015.93</v>
      </c>
    </row>
    <row r="3752" spans="1:33" ht="42.75" x14ac:dyDescent="0.2">
      <c r="A3752" s="31">
        <v>466</v>
      </c>
      <c r="B3752" s="31" t="str">
        <f>[1]Source!F4628</f>
        <v>5.3-1102-12-1/1</v>
      </c>
      <c r="C3752" s="31" t="str">
        <f>[1]Source!G4628</f>
        <v>Уборка снега средствами малой механизации ( 70% т 2507,08 м2, S=2507,08 м2*0,7=1754,96 м2)</v>
      </c>
      <c r="D3752" s="32" t="str">
        <f>[1]Source!H4628</f>
        <v>1000 м2</v>
      </c>
      <c r="E3752" s="4">
        <f>[1]Source!I4628</f>
        <v>1.7549600000000001</v>
      </c>
      <c r="F3752" s="33"/>
      <c r="G3752" s="34"/>
      <c r="H3752" s="4"/>
      <c r="I3752" s="4"/>
      <c r="J3752" s="33"/>
      <c r="K3752" s="33"/>
      <c r="M3752"/>
      <c r="N3752"/>
      <c r="O3752"/>
      <c r="P3752"/>
      <c r="Q3752"/>
      <c r="AB3752">
        <f>ROUND(([1]Source!BZ4628/100)*ROUND(([1]Source!AF4628*[1]Source!AV4628)*[1]Source!I4628, 2), 2)</f>
        <v>0</v>
      </c>
      <c r="AC3752">
        <f>[1]Source!X4628</f>
        <v>0</v>
      </c>
      <c r="AD3752">
        <f>ROUND(([1]Source!CA4628/100)*ROUND(([1]Source!AF4628*[1]Source!AV4628)*[1]Source!I4628, 2), 2)</f>
        <v>0</v>
      </c>
      <c r="AE3752">
        <f>[1]Source!Y4628</f>
        <v>0</v>
      </c>
      <c r="AF3752">
        <f>ROUND((175/100)*ROUND(([1]Source!AE4628*[1]Source!AV4628)*[1]Source!I4628, 2), 2)</f>
        <v>487023.3</v>
      </c>
      <c r="AG3752">
        <f>ROUND((108/100)*ROUND([1]Source!CS4628*[1]Source!I4628, 2), 2)</f>
        <v>300562.95</v>
      </c>
    </row>
    <row r="3753" spans="1:33" x14ac:dyDescent="0.2">
      <c r="C3753" s="40" t="str">
        <f>"Объем: "&amp;[1]Source!I4628&amp;"=1754,96/"&amp;"1000"</f>
        <v>Объем: 1,75496=1754,96/1000</v>
      </c>
      <c r="M3753"/>
      <c r="N3753"/>
      <c r="O3753"/>
      <c r="P3753"/>
      <c r="Q3753"/>
    </row>
    <row r="3754" spans="1:33" ht="14.25" x14ac:dyDescent="0.2">
      <c r="A3754" s="31"/>
      <c r="B3754" s="31"/>
      <c r="C3754" s="31" t="s">
        <v>33</v>
      </c>
      <c r="D3754" s="32"/>
      <c r="E3754" s="4"/>
      <c r="F3754" s="33">
        <f>[1]Source!AM4628</f>
        <v>708.24</v>
      </c>
      <c r="G3754" s="34" t="str">
        <f>[1]Source!DE4628</f>
        <v>*4*168</v>
      </c>
      <c r="H3754" s="4">
        <f>[1]Source!AV4628</f>
        <v>1</v>
      </c>
      <c r="I3754" s="4">
        <f>IF([1]Source!BB4628&lt;&gt; 0, [1]Source!BB4628, 1)</f>
        <v>1</v>
      </c>
      <c r="J3754" s="33">
        <f>[1]Source!Q4628</f>
        <v>835250.89</v>
      </c>
      <c r="K3754" s="33"/>
      <c r="M3754"/>
      <c r="N3754"/>
      <c r="O3754"/>
      <c r="P3754"/>
      <c r="Q3754"/>
    </row>
    <row r="3755" spans="1:33" ht="14.25" x14ac:dyDescent="0.2">
      <c r="A3755" s="31"/>
      <c r="B3755" s="31"/>
      <c r="C3755" s="31" t="s">
        <v>37</v>
      </c>
      <c r="D3755" s="32"/>
      <c r="E3755" s="4"/>
      <c r="F3755" s="33">
        <f>[1]Source!AN4628</f>
        <v>235.98</v>
      </c>
      <c r="G3755" s="34" t="str">
        <f>[1]Source!DF4628</f>
        <v>*4*168</v>
      </c>
      <c r="H3755" s="4">
        <f>[1]Source!AV4628</f>
        <v>1</v>
      </c>
      <c r="I3755" s="4">
        <f>IF([1]Source!BS4628&lt;&gt; 0, [1]Source!BS4628, 1)</f>
        <v>1</v>
      </c>
      <c r="J3755" s="41">
        <f>[1]Source!R4628</f>
        <v>278299.03000000003</v>
      </c>
      <c r="K3755" s="33"/>
      <c r="M3755"/>
      <c r="N3755"/>
      <c r="O3755"/>
      <c r="P3755"/>
      <c r="Q3755"/>
    </row>
    <row r="3756" spans="1:33" ht="14.25" x14ac:dyDescent="0.2">
      <c r="A3756" s="31"/>
      <c r="B3756" s="31"/>
      <c r="C3756" s="31" t="s">
        <v>38</v>
      </c>
      <c r="D3756" s="32" t="s">
        <v>39</v>
      </c>
      <c r="E3756" s="4">
        <f>108</f>
        <v>108</v>
      </c>
      <c r="F3756" s="33"/>
      <c r="G3756" s="34"/>
      <c r="H3756" s="4"/>
      <c r="I3756" s="4"/>
      <c r="J3756" s="33">
        <f>SUM(AG3752:AG3755)</f>
        <v>300562.95</v>
      </c>
      <c r="K3756" s="33"/>
      <c r="M3756"/>
      <c r="N3756"/>
      <c r="O3756"/>
      <c r="P3756"/>
      <c r="Q3756"/>
    </row>
    <row r="3757" spans="1:33" ht="15" x14ac:dyDescent="0.25">
      <c r="A3757" s="35"/>
      <c r="B3757" s="35"/>
      <c r="C3757" s="35"/>
      <c r="D3757" s="35"/>
      <c r="E3757" s="35"/>
      <c r="F3757" s="35"/>
      <c r="G3757" s="35"/>
      <c r="H3757" s="35"/>
      <c r="I3757" s="36">
        <f>J3754+J3756</f>
        <v>1135813.8400000001</v>
      </c>
      <c r="J3757" s="36"/>
      <c r="K3757" s="37">
        <f>IF([1]Source!I4628&lt;&gt;0, ROUND(I3757/[1]Source!I4628, 2), 0)</f>
        <v>647202.12</v>
      </c>
      <c r="M3757"/>
      <c r="N3757"/>
      <c r="O3757"/>
      <c r="P3757"/>
      <c r="Q3757"/>
      <c r="AA3757" s="38">
        <f>I3757</f>
        <v>1135813.8400000001</v>
      </c>
    </row>
    <row r="3758" spans="1:33" ht="42.75" x14ac:dyDescent="0.2">
      <c r="A3758" s="31">
        <v>467</v>
      </c>
      <c r="B3758" s="31" t="str">
        <f>[1]Source!F4629</f>
        <v>5.3-1102-8-1/1</v>
      </c>
      <c r="C3758" s="31" t="str">
        <f>[1]Source!G4629</f>
        <v>Уборка свежевыпавшего снега вручную толщиной слоя до 10 см ( S= 2507,08 м2* 0,1*0,7*0,5 =87,75 м2)</v>
      </c>
      <c r="D3758" s="32" t="str">
        <f>[1]Source!H4629</f>
        <v>100 м2</v>
      </c>
      <c r="E3758" s="4">
        <f>[1]Source!I4629</f>
        <v>0.87749999999999995</v>
      </c>
      <c r="F3758" s="33"/>
      <c r="G3758" s="34"/>
      <c r="H3758" s="4"/>
      <c r="I3758" s="4"/>
      <c r="J3758" s="33"/>
      <c r="K3758" s="33"/>
      <c r="M3758"/>
      <c r="N3758"/>
      <c r="O3758"/>
      <c r="P3758"/>
      <c r="Q3758"/>
      <c r="AB3758">
        <f>ROUND(([1]Source!BZ4629/100)*ROUND(([1]Source!AF4629*[1]Source!AV4629)*[1]Source!I4629, 2), 2)</f>
        <v>66518.850000000006</v>
      </c>
      <c r="AC3758">
        <f>[1]Source!X4629</f>
        <v>66518.850000000006</v>
      </c>
      <c r="AD3758">
        <f>ROUND(([1]Source!CA4629/100)*ROUND(([1]Source!AF4629*[1]Source!AV4629)*[1]Source!I4629, 2), 2)</f>
        <v>9502.69</v>
      </c>
      <c r="AE3758">
        <f>[1]Source!Y4629</f>
        <v>9502.69</v>
      </c>
      <c r="AF3758">
        <f>ROUND((175/100)*ROUND(([1]Source!AE4629*[1]Source!AV4629)*[1]Source!I4629, 2), 2)</f>
        <v>0</v>
      </c>
      <c r="AG3758">
        <f>ROUND((108/100)*ROUND([1]Source!CS4629*[1]Source!I4629, 2), 2)</f>
        <v>0</v>
      </c>
    </row>
    <row r="3759" spans="1:33" x14ac:dyDescent="0.2">
      <c r="C3759" s="40" t="str">
        <f>"Объем: "&amp;[1]Source!I4629&amp;"=87,75/"&amp;"100"</f>
        <v>Объем: 0,8775=87,75/100</v>
      </c>
      <c r="M3759"/>
      <c r="N3759"/>
      <c r="O3759"/>
      <c r="P3759"/>
      <c r="Q3759"/>
    </row>
    <row r="3760" spans="1:33" ht="14.25" x14ac:dyDescent="0.2">
      <c r="A3760" s="31"/>
      <c r="B3760" s="31"/>
      <c r="C3760" s="31" t="s">
        <v>34</v>
      </c>
      <c r="D3760" s="32"/>
      <c r="E3760" s="4"/>
      <c r="F3760" s="33">
        <f>[1]Source!AO4629</f>
        <v>161.15</v>
      </c>
      <c r="G3760" s="34" t="str">
        <f>[1]Source!DG4629</f>
        <v>*4*168</v>
      </c>
      <c r="H3760" s="4">
        <f>[1]Source!AV4629</f>
        <v>1</v>
      </c>
      <c r="I3760" s="4">
        <f>IF([1]Source!BA4629&lt;&gt; 0, [1]Source!BA4629, 1)</f>
        <v>1</v>
      </c>
      <c r="J3760" s="33">
        <f>[1]Source!S4629</f>
        <v>95026.93</v>
      </c>
      <c r="K3760" s="33"/>
      <c r="M3760"/>
      <c r="N3760"/>
      <c r="O3760"/>
      <c r="P3760"/>
      <c r="Q3760"/>
    </row>
    <row r="3761" spans="1:33" ht="14.25" x14ac:dyDescent="0.2">
      <c r="A3761" s="31"/>
      <c r="B3761" s="31"/>
      <c r="C3761" s="31" t="s">
        <v>40</v>
      </c>
      <c r="D3761" s="32" t="s">
        <v>39</v>
      </c>
      <c r="E3761" s="4">
        <f>[1]Source!AT4629</f>
        <v>70</v>
      </c>
      <c r="F3761" s="33"/>
      <c r="G3761" s="34"/>
      <c r="H3761" s="4"/>
      <c r="I3761" s="4"/>
      <c r="J3761" s="33">
        <f>SUM(AC3758:AC3760)</f>
        <v>66518.850000000006</v>
      </c>
      <c r="K3761" s="33"/>
      <c r="M3761"/>
      <c r="N3761"/>
      <c r="O3761"/>
      <c r="P3761"/>
      <c r="Q3761"/>
    </row>
    <row r="3762" spans="1:33" ht="14.25" x14ac:dyDescent="0.2">
      <c r="A3762" s="31"/>
      <c r="B3762" s="31"/>
      <c r="C3762" s="31" t="s">
        <v>41</v>
      </c>
      <c r="D3762" s="32" t="s">
        <v>39</v>
      </c>
      <c r="E3762" s="4">
        <f>[1]Source!AU4629</f>
        <v>10</v>
      </c>
      <c r="F3762" s="33"/>
      <c r="G3762" s="34"/>
      <c r="H3762" s="4"/>
      <c r="I3762" s="4"/>
      <c r="J3762" s="33">
        <f>SUM(AE3758:AE3761)</f>
        <v>9502.69</v>
      </c>
      <c r="K3762" s="33"/>
      <c r="M3762"/>
      <c r="N3762"/>
      <c r="O3762"/>
      <c r="P3762"/>
      <c r="Q3762"/>
    </row>
    <row r="3763" spans="1:33" ht="14.25" x14ac:dyDescent="0.2">
      <c r="A3763" s="31"/>
      <c r="B3763" s="31"/>
      <c r="C3763" s="31" t="s">
        <v>42</v>
      </c>
      <c r="D3763" s="32" t="s">
        <v>43</v>
      </c>
      <c r="E3763" s="4">
        <f>[1]Source!AQ4629</f>
        <v>0.65</v>
      </c>
      <c r="F3763" s="33"/>
      <c r="G3763" s="34" t="str">
        <f>[1]Source!DI4629</f>
        <v>*4*168</v>
      </c>
      <c r="H3763" s="4">
        <f>[1]Source!AV4629</f>
        <v>1</v>
      </c>
      <c r="I3763" s="4"/>
      <c r="J3763" s="33"/>
      <c r="K3763" s="33">
        <f>[1]Source!U4629</f>
        <v>383.29199999999997</v>
      </c>
      <c r="M3763"/>
      <c r="N3763"/>
      <c r="O3763"/>
      <c r="P3763"/>
      <c r="Q3763"/>
    </row>
    <row r="3764" spans="1:33" ht="15" x14ac:dyDescent="0.25">
      <c r="A3764" s="35"/>
      <c r="B3764" s="35"/>
      <c r="C3764" s="35"/>
      <c r="D3764" s="35"/>
      <c r="E3764" s="35"/>
      <c r="F3764" s="35"/>
      <c r="G3764" s="35"/>
      <c r="H3764" s="35"/>
      <c r="I3764" s="36">
        <f>J3760+J3761+J3762</f>
        <v>171048.47</v>
      </c>
      <c r="J3764" s="36"/>
      <c r="K3764" s="37">
        <f>IF([1]Source!I4629&lt;&gt;0, ROUND(I3764/[1]Source!I4629, 2), 0)</f>
        <v>194927.03</v>
      </c>
      <c r="M3764"/>
      <c r="N3764"/>
      <c r="O3764"/>
      <c r="P3764"/>
      <c r="Q3764"/>
      <c r="AA3764" s="38">
        <f>I3764</f>
        <v>171048.47</v>
      </c>
    </row>
    <row r="3765" spans="1:33" ht="28.5" x14ac:dyDescent="0.2">
      <c r="A3765" s="31">
        <v>468</v>
      </c>
      <c r="B3765" s="31" t="str">
        <f>[1]Source!F4630</f>
        <v>5.3-1102-8-3/1</v>
      </c>
      <c r="C3765" s="31" t="str">
        <f>[1]Source!G4630</f>
        <v>Уборка слежавшегося снега вручную( S=2507,08 м2*0,1*0,7*0,5=87.75 м2)</v>
      </c>
      <c r="D3765" s="32" t="str">
        <f>[1]Source!H4630</f>
        <v>100 м2</v>
      </c>
      <c r="E3765" s="4">
        <f>[1]Source!I4630</f>
        <v>0.87749999999999995</v>
      </c>
      <c r="F3765" s="33"/>
      <c r="G3765" s="34"/>
      <c r="H3765" s="4"/>
      <c r="I3765" s="4"/>
      <c r="J3765" s="33"/>
      <c r="K3765" s="33"/>
      <c r="M3765"/>
      <c r="N3765"/>
      <c r="O3765"/>
      <c r="P3765"/>
      <c r="Q3765"/>
      <c r="AB3765">
        <f>ROUND(([1]Source!BZ4630/100)*ROUND(([1]Source!AF4630*[1]Source!AV4630)*[1]Source!I4630, 2), 2)</f>
        <v>39144.58</v>
      </c>
      <c r="AC3765">
        <f>[1]Source!X4630</f>
        <v>39144.58</v>
      </c>
      <c r="AD3765">
        <f>ROUND(([1]Source!CA4630/100)*ROUND(([1]Source!AF4630*[1]Source!AV4630)*[1]Source!I4630, 2), 2)</f>
        <v>5592.08</v>
      </c>
      <c r="AE3765">
        <f>[1]Source!Y4630</f>
        <v>5592.08</v>
      </c>
      <c r="AF3765">
        <f>ROUND((175/100)*ROUND(([1]Source!AE4630*[1]Source!AV4630)*[1]Source!I4630, 2), 2)</f>
        <v>0</v>
      </c>
      <c r="AG3765">
        <f>ROUND((108/100)*ROUND([1]Source!CS4630*[1]Source!I4630, 2), 2)</f>
        <v>0</v>
      </c>
    </row>
    <row r="3766" spans="1:33" x14ac:dyDescent="0.2">
      <c r="C3766" s="40" t="str">
        <f>"Объем: "&amp;[1]Source!I4630&amp;"=87,75/"&amp;"100"</f>
        <v>Объем: 0,8775=87,75/100</v>
      </c>
      <c r="M3766"/>
      <c r="N3766"/>
      <c r="O3766"/>
      <c r="P3766"/>
      <c r="Q3766"/>
    </row>
    <row r="3767" spans="1:33" ht="14.25" x14ac:dyDescent="0.2">
      <c r="A3767" s="31"/>
      <c r="B3767" s="31"/>
      <c r="C3767" s="31" t="s">
        <v>34</v>
      </c>
      <c r="D3767" s="32"/>
      <c r="E3767" s="4"/>
      <c r="F3767" s="33">
        <f>[1]Source!AO4630</f>
        <v>379.33</v>
      </c>
      <c r="G3767" s="34" t="str">
        <f>[1]Source!DG4630</f>
        <v>)*1*168</v>
      </c>
      <c r="H3767" s="4">
        <f>[1]Source!AV4630</f>
        <v>1</v>
      </c>
      <c r="I3767" s="4">
        <f>IF([1]Source!BA4630&lt;&gt; 0, [1]Source!BA4630, 1)</f>
        <v>1</v>
      </c>
      <c r="J3767" s="33">
        <f>[1]Source!S4630</f>
        <v>55920.83</v>
      </c>
      <c r="K3767" s="33"/>
      <c r="M3767"/>
      <c r="N3767"/>
      <c r="O3767"/>
      <c r="P3767"/>
      <c r="Q3767"/>
    </row>
    <row r="3768" spans="1:33" ht="14.25" x14ac:dyDescent="0.2">
      <c r="A3768" s="31"/>
      <c r="B3768" s="31"/>
      <c r="C3768" s="31" t="s">
        <v>40</v>
      </c>
      <c r="D3768" s="32" t="s">
        <v>39</v>
      </c>
      <c r="E3768" s="4">
        <f>[1]Source!AT4630</f>
        <v>70</v>
      </c>
      <c r="F3768" s="33"/>
      <c r="G3768" s="34"/>
      <c r="H3768" s="4"/>
      <c r="I3768" s="4"/>
      <c r="J3768" s="33">
        <f>SUM(AC3765:AC3767)</f>
        <v>39144.58</v>
      </c>
      <c r="K3768" s="33"/>
      <c r="M3768"/>
      <c r="N3768"/>
      <c r="O3768"/>
      <c r="P3768"/>
      <c r="Q3768"/>
    </row>
    <row r="3769" spans="1:33" ht="14.25" x14ac:dyDescent="0.2">
      <c r="A3769" s="31"/>
      <c r="B3769" s="31"/>
      <c r="C3769" s="31" t="s">
        <v>41</v>
      </c>
      <c r="D3769" s="32" t="s">
        <v>39</v>
      </c>
      <c r="E3769" s="4">
        <f>[1]Source!AU4630</f>
        <v>10</v>
      </c>
      <c r="F3769" s="33"/>
      <c r="G3769" s="34"/>
      <c r="H3769" s="4"/>
      <c r="I3769" s="4"/>
      <c r="J3769" s="33">
        <f>SUM(AE3765:AE3768)</f>
        <v>5592.08</v>
      </c>
      <c r="K3769" s="33"/>
      <c r="M3769"/>
      <c r="N3769"/>
      <c r="O3769"/>
      <c r="P3769"/>
      <c r="Q3769"/>
    </row>
    <row r="3770" spans="1:33" ht="14.25" x14ac:dyDescent="0.2">
      <c r="A3770" s="31"/>
      <c r="B3770" s="31"/>
      <c r="C3770" s="31" t="s">
        <v>42</v>
      </c>
      <c r="D3770" s="32" t="s">
        <v>43</v>
      </c>
      <c r="E3770" s="4">
        <f>[1]Source!AQ4630</f>
        <v>1.53</v>
      </c>
      <c r="F3770" s="33"/>
      <c r="G3770" s="34" t="str">
        <f>[1]Source!DI4630</f>
        <v>)*1*168</v>
      </c>
      <c r="H3770" s="4">
        <f>[1]Source!AV4630</f>
        <v>1</v>
      </c>
      <c r="I3770" s="4"/>
      <c r="J3770" s="33"/>
      <c r="K3770" s="33">
        <f>[1]Source!U4630</f>
        <v>225.55260000000001</v>
      </c>
      <c r="M3770"/>
      <c r="N3770"/>
      <c r="O3770"/>
      <c r="P3770"/>
      <c r="Q3770"/>
    </row>
    <row r="3771" spans="1:33" ht="15" x14ac:dyDescent="0.25">
      <c r="A3771" s="35"/>
      <c r="B3771" s="35"/>
      <c r="C3771" s="35"/>
      <c r="D3771" s="35"/>
      <c r="E3771" s="35"/>
      <c r="F3771" s="35"/>
      <c r="G3771" s="35"/>
      <c r="H3771" s="35"/>
      <c r="I3771" s="36">
        <f>J3767+J3768+J3769</f>
        <v>100657.49</v>
      </c>
      <c r="J3771" s="36"/>
      <c r="K3771" s="37">
        <f>IF([1]Source!I4630&lt;&gt;0, ROUND(I3771/[1]Source!I4630, 2), 0)</f>
        <v>114709.39</v>
      </c>
      <c r="M3771"/>
      <c r="N3771"/>
      <c r="O3771"/>
      <c r="P3771"/>
      <c r="Q3771"/>
      <c r="AA3771" s="38">
        <f>I3771</f>
        <v>100657.49</v>
      </c>
    </row>
    <row r="3772" spans="1:33" ht="42.75" x14ac:dyDescent="0.2">
      <c r="A3772" s="31">
        <v>469</v>
      </c>
      <c r="B3772" s="31" t="str">
        <f>[1]Source!F4631</f>
        <v>5.3-1102-8-1/1</v>
      </c>
      <c r="C3772" s="31" t="str">
        <f>[1]Source!G4631</f>
        <v>Уборка свежевыпавшего снега вручную толщиной слоя до 10 см ( S= 2507,08 м2* 0,1*0,3*0,5 =37.61 м2)</v>
      </c>
      <c r="D3772" s="32" t="str">
        <f>[1]Source!H4631</f>
        <v>100 м2</v>
      </c>
      <c r="E3772" s="4">
        <f>[1]Source!I4631</f>
        <v>0.37609999999999999</v>
      </c>
      <c r="F3772" s="33"/>
      <c r="G3772" s="34"/>
      <c r="H3772" s="4"/>
      <c r="I3772" s="4"/>
      <c r="J3772" s="33"/>
      <c r="K3772" s="33"/>
      <c r="M3772"/>
      <c r="N3772"/>
      <c r="O3772"/>
      <c r="P3772"/>
      <c r="Q3772"/>
      <c r="AB3772">
        <f>ROUND(([1]Source!BZ4631/100)*ROUND(([1]Source!AF4631*[1]Source!AV4631)*[1]Source!I4631, 2), 2)</f>
        <v>28510.240000000002</v>
      </c>
      <c r="AC3772">
        <f>[1]Source!X4631</f>
        <v>28510.240000000002</v>
      </c>
      <c r="AD3772">
        <f>ROUND(([1]Source!CA4631/100)*ROUND(([1]Source!AF4631*[1]Source!AV4631)*[1]Source!I4631, 2), 2)</f>
        <v>4072.89</v>
      </c>
      <c r="AE3772">
        <f>[1]Source!Y4631</f>
        <v>4072.89</v>
      </c>
      <c r="AF3772">
        <f>ROUND((175/100)*ROUND(([1]Source!AE4631*[1]Source!AV4631)*[1]Source!I4631, 2), 2)</f>
        <v>0</v>
      </c>
      <c r="AG3772">
        <f>ROUND((108/100)*ROUND([1]Source!CS4631*[1]Source!I4631, 2), 2)</f>
        <v>0</v>
      </c>
    </row>
    <row r="3773" spans="1:33" x14ac:dyDescent="0.2">
      <c r="C3773" s="40" t="str">
        <f>"Объем: "&amp;[1]Source!I4631&amp;"=37,61/"&amp;"100"</f>
        <v>Объем: 0,3761=37,61/100</v>
      </c>
      <c r="M3773"/>
      <c r="N3773"/>
      <c r="O3773"/>
      <c r="P3773"/>
      <c r="Q3773"/>
    </row>
    <row r="3774" spans="1:33" ht="14.25" x14ac:dyDescent="0.2">
      <c r="A3774" s="31"/>
      <c r="B3774" s="31"/>
      <c r="C3774" s="31" t="s">
        <v>34</v>
      </c>
      <c r="D3774" s="32"/>
      <c r="E3774" s="4"/>
      <c r="F3774" s="33">
        <f>[1]Source!AO4631</f>
        <v>161.15</v>
      </c>
      <c r="G3774" s="34" t="str">
        <f>[1]Source!DG4631</f>
        <v>*4*168</v>
      </c>
      <c r="H3774" s="4">
        <f>[1]Source!AV4631</f>
        <v>1</v>
      </c>
      <c r="I3774" s="4">
        <f>IF([1]Source!BA4631&lt;&gt; 0, [1]Source!BA4631, 1)</f>
        <v>1</v>
      </c>
      <c r="J3774" s="33">
        <f>[1]Source!S4631</f>
        <v>40728.92</v>
      </c>
      <c r="K3774" s="33"/>
      <c r="M3774"/>
      <c r="N3774"/>
      <c r="O3774"/>
      <c r="P3774"/>
      <c r="Q3774"/>
    </row>
    <row r="3775" spans="1:33" ht="14.25" x14ac:dyDescent="0.2">
      <c r="A3775" s="31"/>
      <c r="B3775" s="31"/>
      <c r="C3775" s="31" t="s">
        <v>40</v>
      </c>
      <c r="D3775" s="32" t="s">
        <v>39</v>
      </c>
      <c r="E3775" s="4">
        <f>[1]Source!AT4631</f>
        <v>70</v>
      </c>
      <c r="F3775" s="33"/>
      <c r="G3775" s="34"/>
      <c r="H3775" s="4"/>
      <c r="I3775" s="4"/>
      <c r="J3775" s="33">
        <f>SUM(AC3772:AC3774)</f>
        <v>28510.240000000002</v>
      </c>
      <c r="K3775" s="33"/>
      <c r="M3775"/>
      <c r="N3775"/>
      <c r="O3775"/>
      <c r="P3775"/>
      <c r="Q3775"/>
    </row>
    <row r="3776" spans="1:33" ht="14.25" x14ac:dyDescent="0.2">
      <c r="A3776" s="31"/>
      <c r="B3776" s="31"/>
      <c r="C3776" s="31" t="s">
        <v>41</v>
      </c>
      <c r="D3776" s="32" t="s">
        <v>39</v>
      </c>
      <c r="E3776" s="4">
        <f>[1]Source!AU4631</f>
        <v>10</v>
      </c>
      <c r="F3776" s="33"/>
      <c r="G3776" s="34"/>
      <c r="H3776" s="4"/>
      <c r="I3776" s="4"/>
      <c r="J3776" s="33">
        <f>SUM(AE3772:AE3775)</f>
        <v>4072.89</v>
      </c>
      <c r="K3776" s="33"/>
      <c r="M3776"/>
      <c r="N3776"/>
      <c r="O3776"/>
      <c r="P3776"/>
      <c r="Q3776"/>
    </row>
    <row r="3777" spans="1:33" ht="14.25" x14ac:dyDescent="0.2">
      <c r="A3777" s="31"/>
      <c r="B3777" s="31"/>
      <c r="C3777" s="31" t="s">
        <v>42</v>
      </c>
      <c r="D3777" s="32" t="s">
        <v>43</v>
      </c>
      <c r="E3777" s="4">
        <f>[1]Source!AQ4631</f>
        <v>0.65</v>
      </c>
      <c r="F3777" s="33"/>
      <c r="G3777" s="34" t="str">
        <f>[1]Source!DI4631</f>
        <v>*4*168</v>
      </c>
      <c r="H3777" s="4">
        <f>[1]Source!AV4631</f>
        <v>1</v>
      </c>
      <c r="I3777" s="4"/>
      <c r="J3777" s="33"/>
      <c r="K3777" s="33">
        <f>[1]Source!U4631</f>
        <v>164.28048000000001</v>
      </c>
      <c r="M3777"/>
      <c r="N3777"/>
      <c r="O3777"/>
      <c r="P3777"/>
      <c r="Q3777"/>
    </row>
    <row r="3778" spans="1:33" ht="15" x14ac:dyDescent="0.25">
      <c r="A3778" s="35"/>
      <c r="B3778" s="35"/>
      <c r="C3778" s="35"/>
      <c r="D3778" s="35"/>
      <c r="E3778" s="35"/>
      <c r="F3778" s="35"/>
      <c r="G3778" s="35"/>
      <c r="H3778" s="35"/>
      <c r="I3778" s="36">
        <f>J3774+J3775+J3776</f>
        <v>73312.05</v>
      </c>
      <c r="J3778" s="36"/>
      <c r="K3778" s="37">
        <f>IF([1]Source!I4631&lt;&gt;0, ROUND(I3778/[1]Source!I4631, 2), 0)</f>
        <v>194927.01</v>
      </c>
      <c r="M3778"/>
      <c r="N3778"/>
      <c r="O3778"/>
      <c r="P3778"/>
      <c r="Q3778"/>
      <c r="AA3778" s="38">
        <f>I3778</f>
        <v>73312.05</v>
      </c>
    </row>
    <row r="3779" spans="1:33" ht="57" x14ac:dyDescent="0.2">
      <c r="A3779" s="31">
        <v>470</v>
      </c>
      <c r="B3779" s="31" t="str">
        <f>[1]Source!F4632</f>
        <v>5.3-1102-8-2/1</v>
      </c>
      <c r="C3779" s="31" t="str">
        <f>[1]Source!G4632</f>
        <v>Уборка свежевыпавшего снега вручную, добавлять на каждые следующие 10 см увеличения толщины слоя</v>
      </c>
      <c r="D3779" s="32" t="str">
        <f>[1]Source!H4632</f>
        <v>100 м2</v>
      </c>
      <c r="E3779" s="4">
        <f>[1]Source!I4632</f>
        <v>0.37609999999999999</v>
      </c>
      <c r="F3779" s="33"/>
      <c r="G3779" s="34"/>
      <c r="H3779" s="4"/>
      <c r="I3779" s="4"/>
      <c r="J3779" s="33"/>
      <c r="K3779" s="33"/>
      <c r="M3779"/>
      <c r="N3779"/>
      <c r="O3779"/>
      <c r="P3779"/>
      <c r="Q3779"/>
      <c r="AB3779">
        <f>ROUND(([1]Source!BZ4632/100)*ROUND(([1]Source!AF4632*[1]Source!AV4632)*[1]Source!I4632, 2), 2)</f>
        <v>20616.189999999999</v>
      </c>
      <c r="AC3779">
        <f>[1]Source!X4632</f>
        <v>20616.189999999999</v>
      </c>
      <c r="AD3779">
        <f>ROUND(([1]Source!CA4632/100)*ROUND(([1]Source!AF4632*[1]Source!AV4632)*[1]Source!I4632, 2), 2)</f>
        <v>2945.17</v>
      </c>
      <c r="AE3779">
        <f>[1]Source!Y4632</f>
        <v>2945.17</v>
      </c>
      <c r="AF3779">
        <f>ROUND((175/100)*ROUND(([1]Source!AE4632*[1]Source!AV4632)*[1]Source!I4632, 2), 2)</f>
        <v>0</v>
      </c>
      <c r="AG3779">
        <f>ROUND((108/100)*ROUND([1]Source!CS4632*[1]Source!I4632, 2), 2)</f>
        <v>0</v>
      </c>
    </row>
    <row r="3780" spans="1:33" x14ac:dyDescent="0.2">
      <c r="C3780" s="40" t="str">
        <f>"Объем: "&amp;[1]Source!I4632&amp;"=37,61/"&amp;"100"</f>
        <v>Объем: 0,3761=37,61/100</v>
      </c>
      <c r="M3780"/>
      <c r="N3780"/>
      <c r="O3780"/>
      <c r="P3780"/>
      <c r="Q3780"/>
    </row>
    <row r="3781" spans="1:33" ht="14.25" x14ac:dyDescent="0.2">
      <c r="A3781" s="31"/>
      <c r="B3781" s="31"/>
      <c r="C3781" s="31" t="s">
        <v>34</v>
      </c>
      <c r="D3781" s="32"/>
      <c r="E3781" s="4"/>
      <c r="F3781" s="33">
        <f>[1]Source!AO4632</f>
        <v>116.53</v>
      </c>
      <c r="G3781" s="34" t="str">
        <f>[1]Source!DG4632</f>
        <v>*4*168</v>
      </c>
      <c r="H3781" s="4">
        <f>[1]Source!AV4632</f>
        <v>1</v>
      </c>
      <c r="I3781" s="4">
        <f>IF([1]Source!BA4632&lt;&gt; 0, [1]Source!BA4632, 1)</f>
        <v>1</v>
      </c>
      <c r="J3781" s="33">
        <f>[1]Source!S4632</f>
        <v>29451.7</v>
      </c>
      <c r="K3781" s="33"/>
      <c r="M3781"/>
      <c r="N3781"/>
      <c r="O3781"/>
      <c r="P3781"/>
      <c r="Q3781"/>
    </row>
    <row r="3782" spans="1:33" ht="14.25" x14ac:dyDescent="0.2">
      <c r="A3782" s="31"/>
      <c r="B3782" s="31"/>
      <c r="C3782" s="31" t="s">
        <v>40</v>
      </c>
      <c r="D3782" s="32" t="s">
        <v>39</v>
      </c>
      <c r="E3782" s="4">
        <f>[1]Source!AT4632</f>
        <v>70</v>
      </c>
      <c r="F3782" s="33"/>
      <c r="G3782" s="34"/>
      <c r="H3782" s="4"/>
      <c r="I3782" s="4"/>
      <c r="J3782" s="33">
        <f>SUM(AC3779:AC3781)</f>
        <v>20616.189999999999</v>
      </c>
      <c r="K3782" s="33"/>
      <c r="M3782"/>
      <c r="N3782"/>
      <c r="O3782"/>
      <c r="P3782"/>
      <c r="Q3782"/>
    </row>
    <row r="3783" spans="1:33" ht="14.25" x14ac:dyDescent="0.2">
      <c r="A3783" s="31"/>
      <c r="B3783" s="31"/>
      <c r="C3783" s="31" t="s">
        <v>41</v>
      </c>
      <c r="D3783" s="32" t="s">
        <v>39</v>
      </c>
      <c r="E3783" s="4">
        <f>[1]Source!AU4632</f>
        <v>10</v>
      </c>
      <c r="F3783" s="33"/>
      <c r="G3783" s="34"/>
      <c r="H3783" s="4"/>
      <c r="I3783" s="4"/>
      <c r="J3783" s="33">
        <f>SUM(AE3779:AE3782)</f>
        <v>2945.17</v>
      </c>
      <c r="K3783" s="33"/>
      <c r="M3783"/>
      <c r="N3783"/>
      <c r="O3783"/>
      <c r="P3783"/>
      <c r="Q3783"/>
    </row>
    <row r="3784" spans="1:33" ht="14.25" x14ac:dyDescent="0.2">
      <c r="A3784" s="31"/>
      <c r="B3784" s="31"/>
      <c r="C3784" s="31" t="s">
        <v>42</v>
      </c>
      <c r="D3784" s="32" t="s">
        <v>43</v>
      </c>
      <c r="E3784" s="4">
        <f>[1]Source!AQ4632</f>
        <v>0.47</v>
      </c>
      <c r="F3784" s="33"/>
      <c r="G3784" s="34" t="str">
        <f>[1]Source!DI4632</f>
        <v>*4*168</v>
      </c>
      <c r="H3784" s="4">
        <f>[1]Source!AV4632</f>
        <v>1</v>
      </c>
      <c r="I3784" s="4"/>
      <c r="J3784" s="33"/>
      <c r="K3784" s="33">
        <f>[1]Source!U4632</f>
        <v>118.78742399999999</v>
      </c>
      <c r="M3784"/>
      <c r="N3784"/>
      <c r="O3784"/>
      <c r="P3784"/>
      <c r="Q3784"/>
    </row>
    <row r="3785" spans="1:33" ht="15" x14ac:dyDescent="0.25">
      <c r="A3785" s="35"/>
      <c r="B3785" s="35"/>
      <c r="C3785" s="35"/>
      <c r="D3785" s="35"/>
      <c r="E3785" s="35"/>
      <c r="F3785" s="35"/>
      <c r="G3785" s="35"/>
      <c r="H3785" s="35"/>
      <c r="I3785" s="36">
        <f>J3781+J3782+J3783</f>
        <v>53013.06</v>
      </c>
      <c r="J3785" s="36"/>
      <c r="K3785" s="37">
        <f>IF([1]Source!I4632&lt;&gt;0, ROUND(I3785/[1]Source!I4632, 2), 0)</f>
        <v>140954.69</v>
      </c>
      <c r="M3785"/>
      <c r="N3785"/>
      <c r="O3785"/>
      <c r="P3785"/>
      <c r="Q3785"/>
      <c r="AA3785" s="38">
        <f>I3785</f>
        <v>53013.06</v>
      </c>
    </row>
    <row r="3786" spans="1:33" ht="57" x14ac:dyDescent="0.2">
      <c r="A3786" s="31">
        <v>471</v>
      </c>
      <c r="B3786" s="31" t="str">
        <f>[1]Source!F4633</f>
        <v>5.3-1102-24-1/1</v>
      </c>
      <c r="C3786" s="31" t="str">
        <f>[1]Source!G4633</f>
        <v>Уборка свежевыпавшего снега ручной самоходной машиной - ширина захвата 120 см( 20% от 2507,08м2, S= 2507,08 м2 *0,2= 501.42м2 )</v>
      </c>
      <c r="D3786" s="32" t="str">
        <f>[1]Source!H4633</f>
        <v>100 м2</v>
      </c>
      <c r="E3786" s="4">
        <f>[1]Source!I4633</f>
        <v>5.0141999999999998</v>
      </c>
      <c r="F3786" s="33"/>
      <c r="G3786" s="34"/>
      <c r="H3786" s="4"/>
      <c r="I3786" s="4"/>
      <c r="J3786" s="33"/>
      <c r="K3786" s="33"/>
      <c r="M3786"/>
      <c r="N3786"/>
      <c r="O3786"/>
      <c r="P3786"/>
      <c r="Q3786"/>
      <c r="AB3786">
        <f>ROUND(([1]Source!BZ4633/100)*ROUND(([1]Source!AF4633*[1]Source!AV4633)*[1]Source!I4633, 2), 2)</f>
        <v>228933.45</v>
      </c>
      <c r="AC3786">
        <f>[1]Source!X4633</f>
        <v>228933.45</v>
      </c>
      <c r="AD3786">
        <f>ROUND(([1]Source!CA4633/100)*ROUND(([1]Source!AF4633*[1]Source!AV4633)*[1]Source!I4633, 2), 2)</f>
        <v>32704.78</v>
      </c>
      <c r="AE3786">
        <f>[1]Source!Y4633</f>
        <v>32704.78</v>
      </c>
      <c r="AF3786">
        <f>ROUND((175/100)*ROUND(([1]Source!AE4633*[1]Source!AV4633)*[1]Source!I4633, 2), 2)</f>
        <v>530.71</v>
      </c>
      <c r="AG3786">
        <f>ROUND((108/100)*ROUND([1]Source!CS4633*[1]Source!I4633, 2), 2)</f>
        <v>327.52</v>
      </c>
    </row>
    <row r="3787" spans="1:33" x14ac:dyDescent="0.2">
      <c r="C3787" s="40" t="str">
        <f>"Объем: "&amp;[1]Source!I4633&amp;"=501,42/"&amp;"100"</f>
        <v>Объем: 5,0142=501,42/100</v>
      </c>
      <c r="M3787"/>
      <c r="N3787"/>
      <c r="O3787"/>
      <c r="P3787"/>
      <c r="Q3787"/>
    </row>
    <row r="3788" spans="1:33" ht="14.25" x14ac:dyDescent="0.2">
      <c r="A3788" s="31"/>
      <c r="B3788" s="31"/>
      <c r="C3788" s="31" t="s">
        <v>34</v>
      </c>
      <c r="D3788" s="32"/>
      <c r="E3788" s="4"/>
      <c r="F3788" s="33">
        <f>[1]Source!AO4633</f>
        <v>97.06</v>
      </c>
      <c r="G3788" s="34" t="str">
        <f>[1]Source!DG4633</f>
        <v>*4*168</v>
      </c>
      <c r="H3788" s="4">
        <f>[1]Source!AV4633</f>
        <v>1</v>
      </c>
      <c r="I3788" s="4">
        <f>IF([1]Source!BA4633&lt;&gt; 0, [1]Source!BA4633, 1)</f>
        <v>1</v>
      </c>
      <c r="J3788" s="33">
        <f>[1]Source!S4633</f>
        <v>327047.78999999998</v>
      </c>
      <c r="K3788" s="33"/>
      <c r="M3788"/>
      <c r="N3788"/>
      <c r="O3788"/>
      <c r="P3788"/>
      <c r="Q3788"/>
    </row>
    <row r="3789" spans="1:33" ht="14.25" x14ac:dyDescent="0.2">
      <c r="A3789" s="31"/>
      <c r="B3789" s="31"/>
      <c r="C3789" s="31" t="s">
        <v>33</v>
      </c>
      <c r="D3789" s="32"/>
      <c r="E3789" s="4"/>
      <c r="F3789" s="33">
        <f>[1]Source!AM4633</f>
        <v>33.97</v>
      </c>
      <c r="G3789" s="34" t="str">
        <f>[1]Source!DE4633</f>
        <v>*4*168</v>
      </c>
      <c r="H3789" s="4">
        <f>[1]Source!AV4633</f>
        <v>1</v>
      </c>
      <c r="I3789" s="4">
        <f>IF([1]Source!BB4633&lt;&gt; 0, [1]Source!BB4633, 1)</f>
        <v>1</v>
      </c>
      <c r="J3789" s="33">
        <f>[1]Source!Q4633</f>
        <v>114463.36</v>
      </c>
      <c r="K3789" s="33"/>
      <c r="M3789"/>
      <c r="N3789"/>
      <c r="O3789"/>
      <c r="P3789"/>
      <c r="Q3789"/>
    </row>
    <row r="3790" spans="1:33" ht="14.25" x14ac:dyDescent="0.2">
      <c r="A3790" s="31"/>
      <c r="B3790" s="31"/>
      <c r="C3790" s="31" t="s">
        <v>37</v>
      </c>
      <c r="D3790" s="32"/>
      <c r="E3790" s="4"/>
      <c r="F3790" s="33">
        <f>[1]Source!AN4633</f>
        <v>0.09</v>
      </c>
      <c r="G3790" s="34" t="str">
        <f>[1]Source!DF4633</f>
        <v>*4*168</v>
      </c>
      <c r="H3790" s="4">
        <f>[1]Source!AV4633</f>
        <v>1</v>
      </c>
      <c r="I3790" s="4">
        <f>IF([1]Source!BS4633&lt;&gt; 0, [1]Source!BS4633, 1)</f>
        <v>1</v>
      </c>
      <c r="J3790" s="41">
        <f>[1]Source!R4633</f>
        <v>303.26</v>
      </c>
      <c r="K3790" s="33"/>
      <c r="M3790"/>
      <c r="N3790"/>
      <c r="O3790"/>
      <c r="P3790"/>
      <c r="Q3790"/>
    </row>
    <row r="3791" spans="1:33" ht="14.25" x14ac:dyDescent="0.2">
      <c r="A3791" s="31"/>
      <c r="B3791" s="31"/>
      <c r="C3791" s="31" t="s">
        <v>40</v>
      </c>
      <c r="D3791" s="32" t="s">
        <v>39</v>
      </c>
      <c r="E3791" s="4">
        <f>[1]Source!AT4633</f>
        <v>70</v>
      </c>
      <c r="F3791" s="33"/>
      <c r="G3791" s="34"/>
      <c r="H3791" s="4"/>
      <c r="I3791" s="4"/>
      <c r="J3791" s="33">
        <f>SUM(AC3786:AC3790)</f>
        <v>228933.45</v>
      </c>
      <c r="K3791" s="33"/>
      <c r="M3791"/>
      <c r="N3791"/>
      <c r="O3791"/>
      <c r="P3791"/>
      <c r="Q3791"/>
    </row>
    <row r="3792" spans="1:33" ht="14.25" x14ac:dyDescent="0.2">
      <c r="A3792" s="31"/>
      <c r="B3792" s="31"/>
      <c r="C3792" s="31" t="s">
        <v>41</v>
      </c>
      <c r="D3792" s="32" t="s">
        <v>39</v>
      </c>
      <c r="E3792" s="4">
        <f>[1]Source!AU4633</f>
        <v>10</v>
      </c>
      <c r="F3792" s="33"/>
      <c r="G3792" s="34"/>
      <c r="H3792" s="4"/>
      <c r="I3792" s="4"/>
      <c r="J3792" s="33">
        <f>SUM(AE3786:AE3791)</f>
        <v>32704.78</v>
      </c>
      <c r="K3792" s="33"/>
      <c r="M3792"/>
      <c r="N3792"/>
      <c r="O3792"/>
      <c r="P3792"/>
      <c r="Q3792"/>
    </row>
    <row r="3793" spans="1:33" ht="14.25" x14ac:dyDescent="0.2">
      <c r="A3793" s="31"/>
      <c r="B3793" s="31"/>
      <c r="C3793" s="31" t="s">
        <v>38</v>
      </c>
      <c r="D3793" s="32" t="s">
        <v>39</v>
      </c>
      <c r="E3793" s="4">
        <f>108</f>
        <v>108</v>
      </c>
      <c r="F3793" s="33"/>
      <c r="G3793" s="34"/>
      <c r="H3793" s="4"/>
      <c r="I3793" s="4"/>
      <c r="J3793" s="33">
        <f>SUM(AG3786:AG3792)</f>
        <v>327.52</v>
      </c>
      <c r="K3793" s="33"/>
      <c r="M3793"/>
      <c r="N3793"/>
      <c r="O3793"/>
      <c r="P3793"/>
      <c r="Q3793"/>
    </row>
    <row r="3794" spans="1:33" ht="14.25" x14ac:dyDescent="0.2">
      <c r="A3794" s="31"/>
      <c r="B3794" s="31"/>
      <c r="C3794" s="31" t="s">
        <v>42</v>
      </c>
      <c r="D3794" s="32" t="s">
        <v>43</v>
      </c>
      <c r="E3794" s="4">
        <f>[1]Source!AQ4633</f>
        <v>0.35</v>
      </c>
      <c r="F3794" s="33"/>
      <c r="G3794" s="34" t="str">
        <f>[1]Source!DI4633</f>
        <v>*4*168</v>
      </c>
      <c r="H3794" s="4">
        <f>[1]Source!AV4633</f>
        <v>1</v>
      </c>
      <c r="I3794" s="4"/>
      <c r="J3794" s="33"/>
      <c r="K3794" s="33">
        <f>[1]Source!U4633</f>
        <v>1179.3398399999999</v>
      </c>
      <c r="M3794"/>
      <c r="N3794"/>
      <c r="O3794"/>
      <c r="P3794"/>
      <c r="Q3794"/>
    </row>
    <row r="3795" spans="1:33" ht="15" x14ac:dyDescent="0.25">
      <c r="A3795" s="35"/>
      <c r="B3795" s="35"/>
      <c r="C3795" s="35"/>
      <c r="D3795" s="35"/>
      <c r="E3795" s="35"/>
      <c r="F3795" s="35"/>
      <c r="G3795" s="35"/>
      <c r="H3795" s="35"/>
      <c r="I3795" s="36">
        <f>J3788+J3789+J3791+J3792+J3793</f>
        <v>703476.9</v>
      </c>
      <c r="J3795" s="36"/>
      <c r="K3795" s="37">
        <f>IF([1]Source!I4633&lt;&gt;0, ROUND(I3795/[1]Source!I4633, 2), 0)</f>
        <v>140296.94</v>
      </c>
      <c r="M3795"/>
      <c r="N3795"/>
      <c r="O3795"/>
      <c r="P3795"/>
      <c r="Q3795"/>
      <c r="AA3795" s="38">
        <f>I3795</f>
        <v>703476.9</v>
      </c>
    </row>
    <row r="3796" spans="1:33" ht="42.75" x14ac:dyDescent="0.2">
      <c r="A3796" s="31">
        <v>472</v>
      </c>
      <c r="B3796" s="31" t="str">
        <f>[1]Source!F4634</f>
        <v>5.3-1102-9-1/1</v>
      </c>
      <c r="C3796" s="31" t="str">
        <f>[1]Source!G4634</f>
        <v>Колка льда на обледеневших покрытиях вручную( S=2507,08 м2*0,1*0,3*0,5=37.61 м2)</v>
      </c>
      <c r="D3796" s="32" t="str">
        <f>[1]Source!H4634</f>
        <v>100 м2</v>
      </c>
      <c r="E3796" s="4">
        <f>[1]Source!I4634</f>
        <v>0.37609999999999999</v>
      </c>
      <c r="F3796" s="33"/>
      <c r="G3796" s="34"/>
      <c r="H3796" s="4"/>
      <c r="I3796" s="4"/>
      <c r="J3796" s="33"/>
      <c r="K3796" s="33"/>
      <c r="M3796"/>
      <c r="N3796"/>
      <c r="O3796"/>
      <c r="P3796"/>
      <c r="Q3796"/>
      <c r="AB3796">
        <f>ROUND(([1]Source!BZ4634/100)*ROUND(([1]Source!AF4634*[1]Source!AV4634)*[1]Source!I4634, 2), 2)</f>
        <v>52854.97</v>
      </c>
      <c r="AC3796">
        <f>[1]Source!X4634</f>
        <v>52854.97</v>
      </c>
      <c r="AD3796">
        <f>ROUND(([1]Source!CA4634/100)*ROUND(([1]Source!AF4634*[1]Source!AV4634)*[1]Source!I4634, 2), 2)</f>
        <v>7550.71</v>
      </c>
      <c r="AE3796">
        <f>[1]Source!Y4634</f>
        <v>7550.71</v>
      </c>
      <c r="AF3796">
        <f>ROUND((175/100)*ROUND(([1]Source!AE4634*[1]Source!AV4634)*[1]Source!I4634, 2), 2)</f>
        <v>0</v>
      </c>
      <c r="AG3796">
        <f>ROUND((108/100)*ROUND([1]Source!CS4634*[1]Source!I4634, 2), 2)</f>
        <v>0</v>
      </c>
    </row>
    <row r="3797" spans="1:33" x14ac:dyDescent="0.2">
      <c r="C3797" s="40" t="str">
        <f>"Объем: "&amp;[1]Source!I4634&amp;"=37,61/"&amp;"100"</f>
        <v>Объем: 0,3761=37,61/100</v>
      </c>
      <c r="M3797"/>
      <c r="N3797"/>
      <c r="O3797"/>
      <c r="P3797"/>
      <c r="Q3797"/>
    </row>
    <row r="3798" spans="1:33" ht="14.25" x14ac:dyDescent="0.2">
      <c r="A3798" s="31"/>
      <c r="B3798" s="31"/>
      <c r="C3798" s="31" t="s">
        <v>34</v>
      </c>
      <c r="D3798" s="32"/>
      <c r="E3798" s="4"/>
      <c r="F3798" s="33">
        <f>[1]Source!AO4634</f>
        <v>597.51</v>
      </c>
      <c r="G3798" s="34" t="str">
        <f>[1]Source!DG4634</f>
        <v>)*2*168</v>
      </c>
      <c r="H3798" s="4">
        <f>[1]Source!AV4634</f>
        <v>1</v>
      </c>
      <c r="I3798" s="4">
        <f>IF([1]Source!BA4634&lt;&gt; 0, [1]Source!BA4634, 1)</f>
        <v>1</v>
      </c>
      <c r="J3798" s="33">
        <f>[1]Source!S4634</f>
        <v>75507.100000000006</v>
      </c>
      <c r="K3798" s="33"/>
      <c r="M3798"/>
      <c r="N3798"/>
      <c r="O3798"/>
      <c r="P3798"/>
      <c r="Q3798"/>
    </row>
    <row r="3799" spans="1:33" ht="14.25" x14ac:dyDescent="0.2">
      <c r="A3799" s="31"/>
      <c r="B3799" s="31"/>
      <c r="C3799" s="31" t="s">
        <v>40</v>
      </c>
      <c r="D3799" s="32" t="s">
        <v>39</v>
      </c>
      <c r="E3799" s="4">
        <f>[1]Source!AT4634</f>
        <v>70</v>
      </c>
      <c r="F3799" s="33"/>
      <c r="G3799" s="34"/>
      <c r="H3799" s="4"/>
      <c r="I3799" s="4"/>
      <c r="J3799" s="33">
        <f>SUM(AC3796:AC3798)</f>
        <v>52854.97</v>
      </c>
      <c r="K3799" s="33"/>
      <c r="M3799"/>
      <c r="N3799"/>
      <c r="O3799"/>
      <c r="P3799"/>
      <c r="Q3799"/>
    </row>
    <row r="3800" spans="1:33" ht="14.25" x14ac:dyDescent="0.2">
      <c r="A3800" s="31"/>
      <c r="B3800" s="31"/>
      <c r="C3800" s="31" t="s">
        <v>41</v>
      </c>
      <c r="D3800" s="32" t="s">
        <v>39</v>
      </c>
      <c r="E3800" s="4">
        <f>[1]Source!AU4634</f>
        <v>10</v>
      </c>
      <c r="F3800" s="33"/>
      <c r="G3800" s="34"/>
      <c r="H3800" s="4"/>
      <c r="I3800" s="4"/>
      <c r="J3800" s="33">
        <f>SUM(AE3796:AE3799)</f>
        <v>7550.71</v>
      </c>
      <c r="K3800" s="33"/>
      <c r="M3800"/>
      <c r="N3800"/>
      <c r="O3800"/>
      <c r="P3800"/>
      <c r="Q3800"/>
    </row>
    <row r="3801" spans="1:33" ht="14.25" x14ac:dyDescent="0.2">
      <c r="A3801" s="31"/>
      <c r="B3801" s="31"/>
      <c r="C3801" s="31" t="s">
        <v>42</v>
      </c>
      <c r="D3801" s="32" t="s">
        <v>43</v>
      </c>
      <c r="E3801" s="4">
        <f>[1]Source!AQ4634</f>
        <v>2.41</v>
      </c>
      <c r="F3801" s="33"/>
      <c r="G3801" s="34" t="str">
        <f>[1]Source!DI4634</f>
        <v>)*2*168</v>
      </c>
      <c r="H3801" s="4">
        <f>[1]Source!AV4634</f>
        <v>1</v>
      </c>
      <c r="I3801" s="4"/>
      <c r="J3801" s="33"/>
      <c r="K3801" s="33">
        <f>[1]Source!U4634</f>
        <v>304.55073599999997</v>
      </c>
      <c r="M3801"/>
      <c r="N3801"/>
      <c r="O3801"/>
      <c r="P3801"/>
      <c r="Q3801"/>
    </row>
    <row r="3802" spans="1:33" ht="15" x14ac:dyDescent="0.25">
      <c r="A3802" s="35"/>
      <c r="B3802" s="35"/>
      <c r="C3802" s="35"/>
      <c r="D3802" s="35"/>
      <c r="E3802" s="35"/>
      <c r="F3802" s="35"/>
      <c r="G3802" s="35"/>
      <c r="H3802" s="35"/>
      <c r="I3802" s="36">
        <f>J3798+J3799+J3800</f>
        <v>135912.78</v>
      </c>
      <c r="J3802" s="36"/>
      <c r="K3802" s="37">
        <f>IF([1]Source!I4634&lt;&gt;0, ROUND(I3802/[1]Source!I4634, 2), 0)</f>
        <v>361374.05</v>
      </c>
      <c r="M3802"/>
      <c r="N3802"/>
      <c r="O3802"/>
      <c r="P3802"/>
      <c r="Q3802"/>
      <c r="AA3802" s="38">
        <f>I3802</f>
        <v>135912.78</v>
      </c>
    </row>
    <row r="3803" spans="1:33" ht="57" x14ac:dyDescent="0.2">
      <c r="A3803" s="31">
        <v>473</v>
      </c>
      <c r="B3803" s="31" t="str">
        <f>[1]Source!F4635</f>
        <v>калькуляция</v>
      </c>
      <c r="C3803" s="31" t="str">
        <f>[1]Source!G4635</f>
        <v>Посыпка  гранитной крошкой дорожных покрытий средствами малой механизации( расход крошки 100 г/м2)</v>
      </c>
      <c r="D3803" s="32" t="str">
        <f>[1]Source!H4635</f>
        <v>м2</v>
      </c>
      <c r="E3803" s="4">
        <f>[1]Source!I4635</f>
        <v>1754.96</v>
      </c>
      <c r="F3803" s="33"/>
      <c r="G3803" s="34"/>
      <c r="H3803" s="4"/>
      <c r="I3803" s="4"/>
      <c r="J3803" s="33"/>
      <c r="K3803" s="33"/>
      <c r="M3803"/>
      <c r="N3803"/>
      <c r="O3803"/>
      <c r="P3803"/>
      <c r="Q3803"/>
      <c r="AB3803">
        <f>ROUND(([1]Source!BZ4635/100)*ROUND(([1]Source!AF4635*[1]Source!AV4635)*[1]Source!I4635, 2), 2)</f>
        <v>0</v>
      </c>
      <c r="AC3803">
        <f>[1]Source!X4635</f>
        <v>0</v>
      </c>
      <c r="AD3803">
        <f>ROUND(([1]Source!CA4635/100)*ROUND(([1]Source!AF4635*[1]Source!AV4635)*[1]Source!I4635, 2), 2)</f>
        <v>0</v>
      </c>
      <c r="AE3803">
        <f>[1]Source!Y4635</f>
        <v>0</v>
      </c>
      <c r="AF3803">
        <f>ROUND((175/100)*ROUND(([1]Source!AE4635*[1]Source!AV4635)*[1]Source!I4635, 2), 2)</f>
        <v>0</v>
      </c>
      <c r="AG3803">
        <f>ROUND((108/100)*ROUND([1]Source!CS4635*[1]Source!I4635, 2), 2)</f>
        <v>0</v>
      </c>
    </row>
    <row r="3804" spans="1:33" ht="14.25" x14ac:dyDescent="0.2">
      <c r="A3804" s="31"/>
      <c r="B3804" s="31"/>
      <c r="C3804" s="31" t="s">
        <v>33</v>
      </c>
      <c r="D3804" s="32"/>
      <c r="E3804" s="4"/>
      <c r="F3804" s="33">
        <f>[1]Source!AM4635</f>
        <v>0.33</v>
      </c>
      <c r="G3804" s="34" t="str">
        <f>[1]Source!DE4635</f>
        <v>*4*168</v>
      </c>
      <c r="H3804" s="4">
        <f>[1]Source!AV4635</f>
        <v>1</v>
      </c>
      <c r="I3804" s="4">
        <f>IF([1]Source!BB4635&lt;&gt; 0, [1]Source!BB4635, 1)</f>
        <v>1</v>
      </c>
      <c r="J3804" s="33">
        <f>[1]Source!Q4635</f>
        <v>389179.93</v>
      </c>
      <c r="K3804" s="33"/>
      <c r="M3804"/>
      <c r="N3804"/>
      <c r="O3804"/>
      <c r="P3804"/>
      <c r="Q3804"/>
    </row>
    <row r="3805" spans="1:33" ht="14.25" x14ac:dyDescent="0.2">
      <c r="A3805" s="31" t="s">
        <v>188</v>
      </c>
      <c r="B3805" s="31" t="str">
        <f>[1]Source!F4636</f>
        <v>цена поставщика</v>
      </c>
      <c r="C3805" s="31" t="str">
        <f>[1]Source!G4636</f>
        <v>Крошка гранитная</v>
      </c>
      <c r="D3805" s="32" t="str">
        <f>[1]Source!H4636</f>
        <v>кг</v>
      </c>
      <c r="E3805" s="4">
        <f>[1]Source!I4636</f>
        <v>117933.31200000001</v>
      </c>
      <c r="F3805" s="33">
        <f>[1]Source!AK4636</f>
        <v>4.43</v>
      </c>
      <c r="G3805" s="39" t="s">
        <v>68</v>
      </c>
      <c r="H3805" s="4">
        <f>[1]Source!AW4636</f>
        <v>1</v>
      </c>
      <c r="I3805" s="4">
        <f>IF([1]Source!BC4636&lt;&gt; 0, [1]Source!BC4636, 1)</f>
        <v>1</v>
      </c>
      <c r="J3805" s="33">
        <f>[1]Source!O4636</f>
        <v>522444.57</v>
      </c>
      <c r="K3805" s="33"/>
      <c r="M3805"/>
      <c r="N3805"/>
      <c r="O3805"/>
      <c r="P3805"/>
      <c r="Q3805"/>
      <c r="AB3805">
        <f>ROUND(([1]Source!BZ4636/100)*ROUND(([1]Source!AF4636*[1]Source!AV4636)*[1]Source!I4636, 2), 2)</f>
        <v>0</v>
      </c>
      <c r="AC3805">
        <f>[1]Source!X4636</f>
        <v>0</v>
      </c>
      <c r="AD3805">
        <f>ROUND(([1]Source!CA4636/100)*ROUND(([1]Source!AF4636*[1]Source!AV4636)*[1]Source!I4636, 2), 2)</f>
        <v>0</v>
      </c>
      <c r="AE3805">
        <f>[1]Source!Y4636</f>
        <v>0</v>
      </c>
      <c r="AF3805">
        <f>ROUND((175/100)*ROUND(([1]Source!AE4636*[1]Source!AV4636)*[1]Source!I4636, 2), 2)</f>
        <v>0</v>
      </c>
      <c r="AG3805">
        <f>ROUND((108/100)*ROUND([1]Source!CS4636*[1]Source!I4636, 2), 2)</f>
        <v>0</v>
      </c>
    </row>
    <row r="3806" spans="1:33" ht="15" x14ac:dyDescent="0.25">
      <c r="A3806" s="35"/>
      <c r="B3806" s="35"/>
      <c r="C3806" s="35"/>
      <c r="D3806" s="35"/>
      <c r="E3806" s="35"/>
      <c r="F3806" s="35"/>
      <c r="G3806" s="35"/>
      <c r="H3806" s="35"/>
      <c r="I3806" s="36">
        <f>J3804+SUM(J3805:J3805)</f>
        <v>911624.5</v>
      </c>
      <c r="J3806" s="36"/>
      <c r="K3806" s="37">
        <f>IF([1]Source!I4635&lt;&gt;0, ROUND(I3806/[1]Source!I4635, 2), 0)</f>
        <v>519.46</v>
      </c>
      <c r="M3806"/>
      <c r="N3806"/>
      <c r="O3806"/>
      <c r="P3806"/>
      <c r="Q3806"/>
      <c r="AA3806" s="38">
        <f>I3806</f>
        <v>911624.5</v>
      </c>
    </row>
    <row r="3807" spans="1:33" ht="28.5" x14ac:dyDescent="0.2">
      <c r="A3807" s="31">
        <v>474</v>
      </c>
      <c r="B3807" s="31" t="str">
        <f>[1]Source!F4637</f>
        <v>калькуляция</v>
      </c>
      <c r="C3807" s="31" t="str">
        <f>[1]Source!G4637</f>
        <v>Посыпка гранитной крошкой дорожных покрытий вручную( 100г/м2 )</v>
      </c>
      <c r="D3807" s="32" t="str">
        <f>[1]Source!H4637</f>
        <v>м2</v>
      </c>
      <c r="E3807" s="4">
        <f>[1]Source!I4637</f>
        <v>752.12</v>
      </c>
      <c r="F3807" s="33"/>
      <c r="G3807" s="34"/>
      <c r="H3807" s="4"/>
      <c r="I3807" s="4"/>
      <c r="J3807" s="33"/>
      <c r="K3807" s="33"/>
      <c r="M3807"/>
      <c r="N3807"/>
      <c r="O3807"/>
      <c r="P3807"/>
      <c r="Q3807"/>
      <c r="AB3807">
        <f>ROUND(([1]Source!BZ4637/100)*ROUND(([1]Source!AF4637*[1]Source!AV4637)*[1]Source!I4637, 2), 2)</f>
        <v>0</v>
      </c>
      <c r="AC3807">
        <f>[1]Source!X4637</f>
        <v>0</v>
      </c>
      <c r="AD3807">
        <f>ROUND(([1]Source!CA4637/100)*ROUND(([1]Source!AF4637*[1]Source!AV4637)*[1]Source!I4637, 2), 2)</f>
        <v>0</v>
      </c>
      <c r="AE3807">
        <f>[1]Source!Y4637</f>
        <v>0</v>
      </c>
      <c r="AF3807">
        <f>ROUND((175/100)*ROUND(([1]Source!AE4637*[1]Source!AV4637)*[1]Source!I4637, 2), 2)</f>
        <v>0</v>
      </c>
      <c r="AG3807">
        <f>ROUND((108/100)*ROUND([1]Source!CS4637*[1]Source!I4637, 2), 2)</f>
        <v>0</v>
      </c>
    </row>
    <row r="3808" spans="1:33" ht="14.25" x14ac:dyDescent="0.2">
      <c r="A3808" s="31"/>
      <c r="B3808" s="31"/>
      <c r="C3808" s="31" t="s">
        <v>34</v>
      </c>
      <c r="D3808" s="32"/>
      <c r="E3808" s="4"/>
      <c r="F3808" s="33">
        <f>[1]Source!AO4637</f>
        <v>2.08</v>
      </c>
      <c r="G3808" s="34" t="str">
        <f>[1]Source!DG4637</f>
        <v>*4*168</v>
      </c>
      <c r="H3808" s="4">
        <f>[1]Source!AV4637</f>
        <v>1</v>
      </c>
      <c r="I3808" s="4">
        <f>IF([1]Source!BA4637&lt;&gt; 0, [1]Source!BA4637, 1)</f>
        <v>1</v>
      </c>
      <c r="J3808" s="33">
        <f>[1]Source!S4637</f>
        <v>1051283.25</v>
      </c>
      <c r="K3808" s="33"/>
      <c r="M3808"/>
      <c r="N3808"/>
      <c r="O3808"/>
      <c r="P3808"/>
      <c r="Q3808"/>
    </row>
    <row r="3809" spans="1:43" ht="14.25" x14ac:dyDescent="0.2">
      <c r="A3809" s="31" t="s">
        <v>189</v>
      </c>
      <c r="B3809" s="31" t="str">
        <f>[1]Source!F4638</f>
        <v>цена поставщика</v>
      </c>
      <c r="C3809" s="31" t="str">
        <f>[1]Source!G4638</f>
        <v>Крошка гранитная</v>
      </c>
      <c r="D3809" s="32" t="str">
        <f>[1]Source!H4638</f>
        <v>кг</v>
      </c>
      <c r="E3809" s="4">
        <f>[1]Source!I4638</f>
        <v>50542.464</v>
      </c>
      <c r="F3809" s="33">
        <f>[1]Source!AK4638</f>
        <v>4.43</v>
      </c>
      <c r="G3809" s="39" t="s">
        <v>68</v>
      </c>
      <c r="H3809" s="4">
        <f>[1]Source!AW4638</f>
        <v>1</v>
      </c>
      <c r="I3809" s="4">
        <f>IF([1]Source!BC4638&lt;&gt; 0, [1]Source!BC4638, 1)</f>
        <v>1</v>
      </c>
      <c r="J3809" s="33">
        <f>[1]Source!O4638</f>
        <v>223903.12</v>
      </c>
      <c r="K3809" s="33"/>
      <c r="M3809"/>
      <c r="N3809"/>
      <c r="O3809"/>
      <c r="P3809"/>
      <c r="Q3809"/>
      <c r="AB3809">
        <f>ROUND(([1]Source!BZ4638/100)*ROUND(([1]Source!AF4638*[1]Source!AV4638)*[1]Source!I4638, 2), 2)</f>
        <v>0</v>
      </c>
      <c r="AC3809">
        <f>[1]Source!X4638</f>
        <v>0</v>
      </c>
      <c r="AD3809">
        <f>ROUND(([1]Source!CA4638/100)*ROUND(([1]Source!AF4638*[1]Source!AV4638)*[1]Source!I4638, 2), 2)</f>
        <v>0</v>
      </c>
      <c r="AE3809">
        <f>[1]Source!Y4638</f>
        <v>0</v>
      </c>
      <c r="AF3809">
        <f>ROUND((175/100)*ROUND(([1]Source!AE4638*[1]Source!AV4638)*[1]Source!I4638, 2), 2)</f>
        <v>0</v>
      </c>
      <c r="AG3809">
        <f>ROUND((108/100)*ROUND([1]Source!CS4638*[1]Source!I4638, 2), 2)</f>
        <v>0</v>
      </c>
    </row>
    <row r="3810" spans="1:43" ht="15" x14ac:dyDescent="0.25">
      <c r="A3810" s="35"/>
      <c r="B3810" s="35"/>
      <c r="C3810" s="35"/>
      <c r="D3810" s="35"/>
      <c r="E3810" s="35"/>
      <c r="F3810" s="35"/>
      <c r="G3810" s="35"/>
      <c r="H3810" s="35"/>
      <c r="I3810" s="36">
        <f>J3808+SUM(J3809:J3809)</f>
        <v>1275186.3700000001</v>
      </c>
      <c r="J3810" s="36"/>
      <c r="K3810" s="37">
        <f>IF([1]Source!I4637&lt;&gt;0, ROUND(I3810/[1]Source!I4637, 2), 0)</f>
        <v>1695.46</v>
      </c>
      <c r="M3810"/>
      <c r="N3810"/>
      <c r="O3810"/>
      <c r="P3810"/>
      <c r="Q3810"/>
      <c r="AA3810" s="38">
        <f>I3810</f>
        <v>1275186.3700000001</v>
      </c>
    </row>
    <row r="3811" spans="1:43" ht="28.5" x14ac:dyDescent="0.2">
      <c r="A3811" s="31">
        <v>475</v>
      </c>
      <c r="B3811" s="31" t="str">
        <f>[1]Source!F4639</f>
        <v>5.4-1201-1-1/1</v>
      </c>
      <c r="C3811" s="31" t="str">
        <f>[1]Source!G4639</f>
        <v>Сбор случайного мусора по территории</v>
      </c>
      <c r="D3811" s="32" t="str">
        <f>[1]Source!H4639</f>
        <v>100 м2</v>
      </c>
      <c r="E3811" s="4">
        <f>[1]Source!I4639</f>
        <v>25.070799999999998</v>
      </c>
      <c r="F3811" s="33"/>
      <c r="G3811" s="34"/>
      <c r="H3811" s="4"/>
      <c r="I3811" s="4"/>
      <c r="J3811" s="33"/>
      <c r="K3811" s="33"/>
      <c r="M3811"/>
      <c r="N3811"/>
      <c r="O3811"/>
      <c r="P3811"/>
      <c r="Q3811"/>
      <c r="AB3811">
        <f>ROUND(([1]Source!BZ4639/100)*ROUND(([1]Source!AF4639*[1]Source!AV4639)*[1]Source!I4639, 2), 2)</f>
        <v>288992.12</v>
      </c>
      <c r="AC3811">
        <f>[1]Source!X4639</f>
        <v>288992.12</v>
      </c>
      <c r="AD3811">
        <f>ROUND(([1]Source!CA4639/100)*ROUND(([1]Source!AF4639*[1]Source!AV4639)*[1]Source!I4639, 2), 2)</f>
        <v>41284.589999999997</v>
      </c>
      <c r="AE3811">
        <f>[1]Source!Y4639</f>
        <v>41284.589999999997</v>
      </c>
      <c r="AF3811">
        <f>ROUND((175/100)*ROUND(([1]Source!AE4639*[1]Source!AV4639)*[1]Source!I4639, 2), 2)</f>
        <v>0</v>
      </c>
      <c r="AG3811">
        <f>ROUND((108/100)*ROUND([1]Source!CS4639*[1]Source!I4639, 2), 2)</f>
        <v>0</v>
      </c>
    </row>
    <row r="3812" spans="1:43" x14ac:dyDescent="0.2">
      <c r="C3812" s="40" t="str">
        <f>"Объем: "&amp;[1]Source!I4639&amp;"=2507,08/"&amp;"100"</f>
        <v>Объем: 25,0708=2507,08/100</v>
      </c>
      <c r="M3812"/>
      <c r="N3812"/>
      <c r="O3812"/>
      <c r="P3812"/>
      <c r="Q3812"/>
    </row>
    <row r="3813" spans="1:43" ht="14.25" x14ac:dyDescent="0.2">
      <c r="A3813" s="31"/>
      <c r="B3813" s="31"/>
      <c r="C3813" s="31" t="s">
        <v>34</v>
      </c>
      <c r="D3813" s="32"/>
      <c r="E3813" s="4"/>
      <c r="F3813" s="33">
        <f>[1]Source!AO4639</f>
        <v>12.4</v>
      </c>
      <c r="G3813" s="34" t="str">
        <f>[1]Source!DG4639</f>
        <v>)*4*332</v>
      </c>
      <c r="H3813" s="4">
        <f>[1]Source!AV4639</f>
        <v>1</v>
      </c>
      <c r="I3813" s="4">
        <f>IF([1]Source!BA4639&lt;&gt; 0, [1]Source!BA4639, 1)</f>
        <v>1</v>
      </c>
      <c r="J3813" s="33">
        <f>[1]Source!S4639</f>
        <v>412845.88</v>
      </c>
      <c r="K3813" s="33"/>
      <c r="M3813"/>
      <c r="N3813"/>
      <c r="O3813"/>
      <c r="P3813"/>
      <c r="Q3813"/>
    </row>
    <row r="3814" spans="1:43" ht="14.25" x14ac:dyDescent="0.2">
      <c r="A3814" s="31"/>
      <c r="B3814" s="31"/>
      <c r="C3814" s="31" t="s">
        <v>47</v>
      </c>
      <c r="D3814" s="32"/>
      <c r="E3814" s="4"/>
      <c r="F3814" s="33">
        <f>[1]Source!AL4639</f>
        <v>0.69</v>
      </c>
      <c r="G3814" s="34" t="str">
        <f>[1]Source!DD4639</f>
        <v>)*4*332</v>
      </c>
      <c r="H3814" s="4">
        <f>[1]Source!AW4639</f>
        <v>1</v>
      </c>
      <c r="I3814" s="4">
        <f>IF([1]Source!BC4639&lt;&gt; 0, [1]Source!BC4639, 1)</f>
        <v>1</v>
      </c>
      <c r="J3814" s="33">
        <f>[1]Source!P4639</f>
        <v>22972.880000000001</v>
      </c>
      <c r="K3814" s="33"/>
      <c r="M3814"/>
      <c r="N3814"/>
      <c r="O3814"/>
      <c r="P3814"/>
      <c r="Q3814"/>
    </row>
    <row r="3815" spans="1:43" ht="14.25" x14ac:dyDescent="0.2">
      <c r="A3815" s="31"/>
      <c r="B3815" s="31"/>
      <c r="C3815" s="31" t="s">
        <v>40</v>
      </c>
      <c r="D3815" s="32" t="s">
        <v>39</v>
      </c>
      <c r="E3815" s="4">
        <f>[1]Source!AT4639</f>
        <v>70</v>
      </c>
      <c r="F3815" s="33"/>
      <c r="G3815" s="34"/>
      <c r="H3815" s="4"/>
      <c r="I3815" s="4"/>
      <c r="J3815" s="33">
        <f>SUM(AC3811:AC3814)</f>
        <v>288992.12</v>
      </c>
      <c r="K3815" s="33"/>
      <c r="M3815"/>
      <c r="N3815"/>
      <c r="O3815"/>
      <c r="P3815"/>
      <c r="Q3815"/>
    </row>
    <row r="3816" spans="1:43" ht="14.25" x14ac:dyDescent="0.2">
      <c r="A3816" s="31"/>
      <c r="B3816" s="31"/>
      <c r="C3816" s="31" t="s">
        <v>41</v>
      </c>
      <c r="D3816" s="32" t="s">
        <v>39</v>
      </c>
      <c r="E3816" s="4">
        <f>[1]Source!AU4639</f>
        <v>10</v>
      </c>
      <c r="F3816" s="33"/>
      <c r="G3816" s="34"/>
      <c r="H3816" s="4"/>
      <c r="I3816" s="4"/>
      <c r="J3816" s="33">
        <f>SUM(AE3811:AE3815)</f>
        <v>41284.589999999997</v>
      </c>
      <c r="K3816" s="33"/>
      <c r="M3816"/>
      <c r="N3816"/>
      <c r="O3816"/>
      <c r="P3816"/>
      <c r="Q3816"/>
    </row>
    <row r="3817" spans="1:43" ht="14.25" x14ac:dyDescent="0.2">
      <c r="A3817" s="31"/>
      <c r="B3817" s="31"/>
      <c r="C3817" s="31" t="s">
        <v>42</v>
      </c>
      <c r="D3817" s="32" t="s">
        <v>43</v>
      </c>
      <c r="E3817" s="4">
        <f>[1]Source!AQ4639</f>
        <v>0.05</v>
      </c>
      <c r="F3817" s="33"/>
      <c r="G3817" s="34" t="str">
        <f>[1]Source!DI4639</f>
        <v>)*4*332</v>
      </c>
      <c r="H3817" s="4">
        <f>[1]Source!AV4639</f>
        <v>1</v>
      </c>
      <c r="I3817" s="4"/>
      <c r="J3817" s="33"/>
      <c r="K3817" s="33">
        <f>[1]Source!U4639</f>
        <v>1664.7011199999999</v>
      </c>
      <c r="M3817"/>
      <c r="N3817"/>
      <c r="O3817"/>
      <c r="P3817"/>
      <c r="Q3817"/>
    </row>
    <row r="3818" spans="1:43" ht="15" x14ac:dyDescent="0.25">
      <c r="A3818" s="35"/>
      <c r="B3818" s="35"/>
      <c r="C3818" s="35"/>
      <c r="D3818" s="35"/>
      <c r="E3818" s="35"/>
      <c r="F3818" s="35"/>
      <c r="G3818" s="35"/>
      <c r="H3818" s="35"/>
      <c r="I3818" s="36">
        <f>J3813+J3814+J3815+J3816</f>
        <v>766095.47</v>
      </c>
      <c r="J3818" s="36"/>
      <c r="K3818" s="37">
        <f>IF([1]Source!I4639&lt;&gt;0, ROUND(I3818/[1]Source!I4639, 2), 0)</f>
        <v>30557.279999999999</v>
      </c>
      <c r="M3818"/>
      <c r="N3818"/>
      <c r="O3818"/>
      <c r="P3818"/>
      <c r="Q3818"/>
      <c r="AA3818" s="38">
        <f>I3818</f>
        <v>766095.47</v>
      </c>
    </row>
    <row r="3819" spans="1:43" x14ac:dyDescent="0.2">
      <c r="M3819"/>
      <c r="N3819"/>
      <c r="O3819"/>
      <c r="P3819"/>
      <c r="Q3819"/>
    </row>
    <row r="3820" spans="1:43" ht="30" x14ac:dyDescent="0.25">
      <c r="A3820" s="42" t="str">
        <f>CONCATENATE("Итого по подразделу: ",IF([1]Source!G4641&lt;&gt;"Новый подраздел", [1]Source!G4641, ""))</f>
        <v>Итого по подразделу: Содержание плиточного покрытия тротуара из гранитной плитки , пескоуловитель из фибробетона ( S= 2485,6 м2 + 21,48 м2= 2507,08 м2)</v>
      </c>
      <c r="B3820" s="42"/>
      <c r="C3820" s="42"/>
      <c r="D3820" s="42"/>
      <c r="E3820" s="42"/>
      <c r="F3820" s="42"/>
      <c r="G3820" s="42"/>
      <c r="H3820" s="42"/>
      <c r="I3820" s="43">
        <f>SUM(AA3741:AA3819)</f>
        <v>7130747.5499999998</v>
      </c>
      <c r="J3820" s="44"/>
      <c r="K3820" s="47"/>
      <c r="L3820" s="38">
        <f>I3820</f>
        <v>7130747.5499999998</v>
      </c>
      <c r="M3820" s="2">
        <f>ROUND(I3820*$I$4874,2)</f>
        <v>5149874.71</v>
      </c>
      <c r="N3820" s="2">
        <f>ROUND(M3820*1.2/105*100,2)</f>
        <v>5885571.0999999996</v>
      </c>
      <c r="O3820" s="2">
        <f>ROUND(N3820*0.05,2)</f>
        <v>294278.56</v>
      </c>
      <c r="P3820" s="2">
        <f>N3820+O3820-0.01</f>
        <v>6179849.6499999994</v>
      </c>
      <c r="Q3820" s="3">
        <v>2</v>
      </c>
      <c r="S3820" s="2">
        <v>1134893.5900000001</v>
      </c>
      <c r="AQ3820" s="46" t="str">
        <f>CONCATENATE("Итого по подразделу: ",IF([1]Source!G4641&lt;&gt;"Новый подраздел", [1]Source!G4641, ""))</f>
        <v>Итого по подразделу: Содержание плиточного покрытия тротуара из гранитной плитки , пескоуловитель из фибробетона ( S= 2485,6 м2 + 21,48 м2= 2507,08 м2)</v>
      </c>
    </row>
    <row r="3821" spans="1:43" x14ac:dyDescent="0.2">
      <c r="M3821"/>
      <c r="N3821"/>
      <c r="O3821"/>
      <c r="P3821"/>
      <c r="Q3821"/>
    </row>
    <row r="3822" spans="1:43" x14ac:dyDescent="0.2">
      <c r="M3822"/>
      <c r="N3822"/>
      <c r="O3822"/>
      <c r="P3822"/>
      <c r="Q3822"/>
    </row>
    <row r="3823" spans="1:43" ht="16.5" x14ac:dyDescent="0.25">
      <c r="A3823" s="29" t="str">
        <f>CONCATENATE("Подраздел: ",IF([1]Source!G4671&lt;&gt;"Новый подраздел", [1]Source!G4671, ""))</f>
        <v>Подраздел: Уход за бортовыми камнями</v>
      </c>
      <c r="B3823" s="29"/>
      <c r="C3823" s="29"/>
      <c r="D3823" s="29"/>
      <c r="E3823" s="29"/>
      <c r="F3823" s="29"/>
      <c r="G3823" s="29"/>
      <c r="H3823" s="29"/>
      <c r="I3823" s="29"/>
      <c r="J3823" s="29"/>
      <c r="K3823" s="29"/>
      <c r="M3823"/>
      <c r="N3823"/>
      <c r="O3823"/>
      <c r="P3823"/>
      <c r="Q3823"/>
    </row>
    <row r="3824" spans="1:43" ht="28.5" x14ac:dyDescent="0.2">
      <c r="A3824" s="31">
        <v>476</v>
      </c>
      <c r="B3824" s="31" t="str">
        <f>[1]Source!F4675</f>
        <v>калькуляция</v>
      </c>
      <c r="C3824" s="31" t="str">
        <f>[1]Source!G4675</f>
        <v>Уход за бортовыми камнями(  подметание вручную)</v>
      </c>
      <c r="D3824" s="32" t="str">
        <f>[1]Source!H4675</f>
        <v>м2</v>
      </c>
      <c r="E3824" s="4">
        <f>[1]Source!I4675</f>
        <v>110.64</v>
      </c>
      <c r="F3824" s="33"/>
      <c r="G3824" s="34"/>
      <c r="H3824" s="4"/>
      <c r="I3824" s="4"/>
      <c r="J3824" s="33"/>
      <c r="K3824" s="33"/>
      <c r="M3824"/>
      <c r="N3824"/>
      <c r="O3824"/>
      <c r="P3824"/>
      <c r="Q3824"/>
      <c r="AB3824">
        <f>ROUND(([1]Source!BZ4675/100)*ROUND(([1]Source!AF4675*[1]Source!AV4675)*[1]Source!I4675, 2), 2)</f>
        <v>0</v>
      </c>
      <c r="AC3824">
        <f>[1]Source!X4675</f>
        <v>0</v>
      </c>
      <c r="AD3824">
        <f>ROUND(([1]Source!CA4675/100)*ROUND(([1]Source!AF4675*[1]Source!AV4675)*[1]Source!I4675, 2), 2)</f>
        <v>0</v>
      </c>
      <c r="AE3824">
        <f>[1]Source!Y4675</f>
        <v>0</v>
      </c>
      <c r="AF3824">
        <f>ROUND((175/100)*ROUND(([1]Source!AE4675*[1]Source!AV4675)*[1]Source!I4675, 2), 2)</f>
        <v>0</v>
      </c>
      <c r="AG3824">
        <f>ROUND((108/100)*ROUND([1]Source!CS4675*[1]Source!I4675, 2), 2)</f>
        <v>0</v>
      </c>
    </row>
    <row r="3825" spans="1:33" ht="14.25" x14ac:dyDescent="0.2">
      <c r="A3825" s="31"/>
      <c r="B3825" s="31"/>
      <c r="C3825" s="31" t="s">
        <v>34</v>
      </c>
      <c r="D3825" s="32"/>
      <c r="E3825" s="4"/>
      <c r="F3825" s="33">
        <f>[1]Source!AO4675</f>
        <v>1.24</v>
      </c>
      <c r="G3825" s="34" t="str">
        <f>[1]Source!DG4675</f>
        <v>)*1*164</v>
      </c>
      <c r="H3825" s="4">
        <f>[1]Source!AV4675</f>
        <v>1</v>
      </c>
      <c r="I3825" s="4">
        <f>IF([1]Source!BA4675&lt;&gt; 0, [1]Source!BA4675, 1)</f>
        <v>1</v>
      </c>
      <c r="J3825" s="33">
        <f>[1]Source!S4675</f>
        <v>22499.75</v>
      </c>
      <c r="K3825" s="33"/>
      <c r="M3825"/>
      <c r="N3825"/>
      <c r="O3825"/>
      <c r="P3825"/>
      <c r="Q3825"/>
    </row>
    <row r="3826" spans="1:33" ht="15" x14ac:dyDescent="0.25">
      <c r="A3826" s="35"/>
      <c r="B3826" s="35"/>
      <c r="C3826" s="35"/>
      <c r="D3826" s="35"/>
      <c r="E3826" s="35"/>
      <c r="F3826" s="35"/>
      <c r="G3826" s="35"/>
      <c r="H3826" s="35"/>
      <c r="I3826" s="36">
        <f>J3825</f>
        <v>22499.75</v>
      </c>
      <c r="J3826" s="36"/>
      <c r="K3826" s="37">
        <f>IF([1]Source!I4675&lt;&gt;0, ROUND(I3826/[1]Source!I4675, 2), 0)</f>
        <v>203.36</v>
      </c>
      <c r="M3826"/>
      <c r="N3826"/>
      <c r="O3826"/>
      <c r="P3826"/>
      <c r="Q3826"/>
      <c r="AA3826" s="38">
        <f>I3826</f>
        <v>22499.75</v>
      </c>
    </row>
    <row r="3827" spans="1:33" ht="28.5" x14ac:dyDescent="0.2">
      <c r="A3827" s="31">
        <v>477</v>
      </c>
      <c r="B3827" s="31" t="str">
        <f>[1]Source!F4676</f>
        <v>5.3-1102-8-1/1</v>
      </c>
      <c r="C3827" s="31" t="str">
        <f>[1]Source!G4676</f>
        <v>Уборка свежевыпавшего снега вручную толщиной слоя до 10 см</v>
      </c>
      <c r="D3827" s="32" t="str">
        <f>[1]Source!H4676</f>
        <v>100 м2</v>
      </c>
      <c r="E3827" s="4">
        <f>[1]Source!I4676</f>
        <v>1.1064000000000001</v>
      </c>
      <c r="F3827" s="33"/>
      <c r="G3827" s="34"/>
      <c r="H3827" s="4"/>
      <c r="I3827" s="4"/>
      <c r="J3827" s="33"/>
      <c r="K3827" s="33"/>
      <c r="M3827"/>
      <c r="N3827"/>
      <c r="O3827"/>
      <c r="P3827"/>
      <c r="Q3827"/>
      <c r="AB3827">
        <f>ROUND(([1]Source!BZ4676/100)*ROUND(([1]Source!AF4676*[1]Source!AV4676)*[1]Source!I4676, 2), 2)</f>
        <v>83870.61</v>
      </c>
      <c r="AC3827">
        <f>[1]Source!X4676</f>
        <v>83870.61</v>
      </c>
      <c r="AD3827">
        <f>ROUND(([1]Source!CA4676/100)*ROUND(([1]Source!AF4676*[1]Source!AV4676)*[1]Source!I4676, 2), 2)</f>
        <v>11981.52</v>
      </c>
      <c r="AE3827">
        <f>[1]Source!Y4676</f>
        <v>11981.52</v>
      </c>
      <c r="AF3827">
        <f>ROUND((175/100)*ROUND(([1]Source!AE4676*[1]Source!AV4676)*[1]Source!I4676, 2), 2)</f>
        <v>0</v>
      </c>
      <c r="AG3827">
        <f>ROUND((108/100)*ROUND([1]Source!CS4676*[1]Source!I4676, 2), 2)</f>
        <v>0</v>
      </c>
    </row>
    <row r="3828" spans="1:33" x14ac:dyDescent="0.2">
      <c r="C3828" s="40" t="str">
        <f>"Объем: "&amp;[1]Source!I4676&amp;"=110,64/"&amp;"100"</f>
        <v>Объем: 1,1064=110,64/100</v>
      </c>
      <c r="M3828"/>
      <c r="N3828"/>
      <c r="O3828"/>
      <c r="P3828"/>
      <c r="Q3828"/>
    </row>
    <row r="3829" spans="1:33" ht="14.25" x14ac:dyDescent="0.2">
      <c r="A3829" s="31"/>
      <c r="B3829" s="31"/>
      <c r="C3829" s="31" t="s">
        <v>34</v>
      </c>
      <c r="D3829" s="32"/>
      <c r="E3829" s="4"/>
      <c r="F3829" s="33">
        <f>[1]Source!AO4676</f>
        <v>161.15</v>
      </c>
      <c r="G3829" s="34" t="str">
        <f>[1]Source!DG4676</f>
        <v>*4*168</v>
      </c>
      <c r="H3829" s="4">
        <f>[1]Source!AV4676</f>
        <v>1</v>
      </c>
      <c r="I3829" s="4">
        <f>IF([1]Source!BA4676&lt;&gt; 0, [1]Source!BA4676, 1)</f>
        <v>1</v>
      </c>
      <c r="J3829" s="33">
        <f>[1]Source!S4676</f>
        <v>119815.15</v>
      </c>
      <c r="K3829" s="33"/>
      <c r="M3829"/>
      <c r="N3829"/>
      <c r="O3829"/>
      <c r="P3829"/>
      <c r="Q3829"/>
    </row>
    <row r="3830" spans="1:33" ht="14.25" x14ac:dyDescent="0.2">
      <c r="A3830" s="31"/>
      <c r="B3830" s="31"/>
      <c r="C3830" s="31" t="s">
        <v>40</v>
      </c>
      <c r="D3830" s="32" t="s">
        <v>39</v>
      </c>
      <c r="E3830" s="4">
        <f>[1]Source!AT4676</f>
        <v>70</v>
      </c>
      <c r="F3830" s="33"/>
      <c r="G3830" s="34"/>
      <c r="H3830" s="4"/>
      <c r="I3830" s="4"/>
      <c r="J3830" s="33">
        <f>SUM(AC3827:AC3829)</f>
        <v>83870.61</v>
      </c>
      <c r="K3830" s="33"/>
      <c r="M3830"/>
      <c r="N3830"/>
      <c r="O3830"/>
      <c r="P3830"/>
      <c r="Q3830"/>
    </row>
    <row r="3831" spans="1:33" ht="14.25" x14ac:dyDescent="0.2">
      <c r="A3831" s="31"/>
      <c r="B3831" s="31"/>
      <c r="C3831" s="31" t="s">
        <v>41</v>
      </c>
      <c r="D3831" s="32" t="s">
        <v>39</v>
      </c>
      <c r="E3831" s="4">
        <f>[1]Source!AU4676</f>
        <v>10</v>
      </c>
      <c r="F3831" s="33"/>
      <c r="G3831" s="34"/>
      <c r="H3831" s="4"/>
      <c r="I3831" s="4"/>
      <c r="J3831" s="33">
        <f>SUM(AE3827:AE3830)</f>
        <v>11981.52</v>
      </c>
      <c r="K3831" s="33"/>
      <c r="M3831"/>
      <c r="N3831"/>
      <c r="O3831"/>
      <c r="P3831"/>
      <c r="Q3831"/>
    </row>
    <row r="3832" spans="1:33" ht="14.25" x14ac:dyDescent="0.2">
      <c r="A3832" s="31"/>
      <c r="B3832" s="31"/>
      <c r="C3832" s="31" t="s">
        <v>42</v>
      </c>
      <c r="D3832" s="32" t="s">
        <v>43</v>
      </c>
      <c r="E3832" s="4">
        <f>[1]Source!AQ4676</f>
        <v>0.65</v>
      </c>
      <c r="F3832" s="33"/>
      <c r="G3832" s="34" t="str">
        <f>[1]Source!DI4676</f>
        <v>*4*168</v>
      </c>
      <c r="H3832" s="4">
        <f>[1]Source!AV4676</f>
        <v>1</v>
      </c>
      <c r="I3832" s="4"/>
      <c r="J3832" s="33"/>
      <c r="K3832" s="33">
        <f>[1]Source!U4676</f>
        <v>483.27552000000003</v>
      </c>
      <c r="M3832"/>
      <c r="N3832"/>
      <c r="O3832"/>
      <c r="P3832"/>
      <c r="Q3832"/>
    </row>
    <row r="3833" spans="1:33" ht="15" x14ac:dyDescent="0.25">
      <c r="A3833" s="35"/>
      <c r="B3833" s="35"/>
      <c r="C3833" s="35"/>
      <c r="D3833" s="35"/>
      <c r="E3833" s="35"/>
      <c r="F3833" s="35"/>
      <c r="G3833" s="35"/>
      <c r="H3833" s="35"/>
      <c r="I3833" s="36">
        <f>J3829+J3830+J3831</f>
        <v>215667.28</v>
      </c>
      <c r="J3833" s="36"/>
      <c r="K3833" s="37">
        <f>IF([1]Source!I4676&lt;&gt;0, ROUND(I3833/[1]Source!I4676, 2), 0)</f>
        <v>194927.04</v>
      </c>
      <c r="M3833"/>
      <c r="N3833"/>
      <c r="O3833"/>
      <c r="P3833"/>
      <c r="Q3833"/>
      <c r="AA3833" s="38">
        <f>I3833</f>
        <v>215667.28</v>
      </c>
    </row>
    <row r="3834" spans="1:33" x14ac:dyDescent="0.2">
      <c r="M3834"/>
      <c r="N3834"/>
      <c r="O3834"/>
      <c r="P3834"/>
      <c r="Q3834"/>
    </row>
    <row r="3835" spans="1:33" ht="15" x14ac:dyDescent="0.25">
      <c r="A3835" s="42" t="str">
        <f>CONCATENATE("Итого по подразделу: ",IF([1]Source!G4678&lt;&gt;"Новый подраздел", [1]Source!G4678, ""))</f>
        <v>Итого по подразделу: Уход за бортовыми камнями</v>
      </c>
      <c r="B3835" s="42"/>
      <c r="C3835" s="42"/>
      <c r="D3835" s="42"/>
      <c r="E3835" s="42"/>
      <c r="F3835" s="42"/>
      <c r="G3835" s="42"/>
      <c r="H3835" s="42"/>
      <c r="I3835" s="43">
        <f>SUM(AA3823:AA3834)</f>
        <v>238167.03</v>
      </c>
      <c r="J3835" s="44"/>
      <c r="K3835" s="47"/>
      <c r="L3835" s="38">
        <f>I3835</f>
        <v>238167.03</v>
      </c>
      <c r="M3835" s="2">
        <f>ROUND(I3835*$I$4874,2)</f>
        <v>172005.86</v>
      </c>
      <c r="N3835" s="2">
        <f>ROUND(M3835*1.2/105*100,2)</f>
        <v>196578.13</v>
      </c>
      <c r="O3835" s="2">
        <f>ROUND(N3835*0.05,2)</f>
        <v>9828.91</v>
      </c>
      <c r="P3835" s="2">
        <f>N3835+O3835</f>
        <v>206407.04000000001</v>
      </c>
      <c r="Q3835" s="3">
        <v>3</v>
      </c>
      <c r="S3835" s="2">
        <v>38055.879999999997</v>
      </c>
    </row>
    <row r="3836" spans="1:33" x14ac:dyDescent="0.2">
      <c r="M3836"/>
      <c r="N3836"/>
      <c r="O3836"/>
      <c r="P3836"/>
      <c r="Q3836"/>
    </row>
    <row r="3837" spans="1:33" x14ac:dyDescent="0.2">
      <c r="M3837"/>
      <c r="N3837"/>
      <c r="O3837"/>
      <c r="P3837"/>
      <c r="Q3837"/>
    </row>
    <row r="3838" spans="1:33" ht="16.5" x14ac:dyDescent="0.25">
      <c r="A3838" s="29" t="str">
        <f>CONCATENATE("Подраздел: ",IF([1]Source!G4708&lt;&gt;"Новый подраздел", [1]Source!G4708, ""))</f>
        <v>Подраздел: Уход за покрытием пандуса</v>
      </c>
      <c r="B3838" s="29"/>
      <c r="C3838" s="29"/>
      <c r="D3838" s="29"/>
      <c r="E3838" s="29"/>
      <c r="F3838" s="29"/>
      <c r="G3838" s="29"/>
      <c r="H3838" s="29"/>
      <c r="I3838" s="29"/>
      <c r="J3838" s="29"/>
      <c r="K3838" s="29"/>
      <c r="M3838"/>
      <c r="N3838"/>
      <c r="O3838"/>
      <c r="P3838"/>
      <c r="Q3838"/>
    </row>
    <row r="3839" spans="1:33" ht="28.5" x14ac:dyDescent="0.2">
      <c r="A3839" s="31">
        <v>478</v>
      </c>
      <c r="B3839" s="31" t="str">
        <f>[1]Source!F4712</f>
        <v>калькуляция</v>
      </c>
      <c r="C3839" s="31" t="str">
        <f>[1]Source!G4712</f>
        <v>Подметание дорожек  вручную ( S=30м2)</v>
      </c>
      <c r="D3839" s="32" t="str">
        <f>[1]Source!H4712</f>
        <v>м2</v>
      </c>
      <c r="E3839" s="4">
        <f>[1]Source!I4712</f>
        <v>30</v>
      </c>
      <c r="F3839" s="33"/>
      <c r="G3839" s="34"/>
      <c r="H3839" s="4"/>
      <c r="I3839" s="4"/>
      <c r="J3839" s="33"/>
      <c r="K3839" s="33"/>
      <c r="M3839"/>
      <c r="N3839"/>
      <c r="O3839"/>
      <c r="P3839"/>
      <c r="Q3839"/>
      <c r="AB3839">
        <f>ROUND(([1]Source!BZ4712/100)*ROUND(([1]Source!AF4712*[1]Source!AV4712)*[1]Source!I4712, 2), 2)</f>
        <v>0</v>
      </c>
      <c r="AC3839">
        <f>[1]Source!X4712</f>
        <v>0</v>
      </c>
      <c r="AD3839">
        <f>ROUND(([1]Source!CA4712/100)*ROUND(([1]Source!AF4712*[1]Source!AV4712)*[1]Source!I4712, 2), 2)</f>
        <v>0</v>
      </c>
      <c r="AE3839">
        <f>[1]Source!Y4712</f>
        <v>0</v>
      </c>
      <c r="AF3839">
        <f>ROUND((175/100)*ROUND(([1]Source!AE4712*[1]Source!AV4712)*[1]Source!I4712, 2), 2)</f>
        <v>0</v>
      </c>
      <c r="AG3839">
        <f>ROUND((108/100)*ROUND([1]Source!CS4712*[1]Source!I4712, 2), 2)</f>
        <v>0</v>
      </c>
    </row>
    <row r="3840" spans="1:33" ht="14.25" x14ac:dyDescent="0.2">
      <c r="A3840" s="31"/>
      <c r="B3840" s="31"/>
      <c r="C3840" s="31" t="s">
        <v>34</v>
      </c>
      <c r="D3840" s="32"/>
      <c r="E3840" s="4"/>
      <c r="F3840" s="33">
        <f>[1]Source!AO4712</f>
        <v>1.32</v>
      </c>
      <c r="G3840" s="34" t="str">
        <f>[1]Source!DG4712</f>
        <v>)*4*164</v>
      </c>
      <c r="H3840" s="4">
        <f>[1]Source!AV4712</f>
        <v>1</v>
      </c>
      <c r="I3840" s="4">
        <f>IF([1]Source!BA4712&lt;&gt; 0, [1]Source!BA4712, 1)</f>
        <v>1</v>
      </c>
      <c r="J3840" s="33">
        <f>[1]Source!S4712</f>
        <v>25977.599999999999</v>
      </c>
      <c r="K3840" s="33"/>
      <c r="M3840"/>
      <c r="N3840"/>
      <c r="O3840"/>
      <c r="P3840"/>
      <c r="Q3840"/>
    </row>
    <row r="3841" spans="1:33" ht="15" x14ac:dyDescent="0.25">
      <c r="A3841" s="35"/>
      <c r="B3841" s="35"/>
      <c r="C3841" s="35"/>
      <c r="D3841" s="35"/>
      <c r="E3841" s="35"/>
      <c r="F3841" s="35"/>
      <c r="G3841" s="35"/>
      <c r="H3841" s="35"/>
      <c r="I3841" s="36">
        <f>J3840</f>
        <v>25977.599999999999</v>
      </c>
      <c r="J3841" s="36"/>
      <c r="K3841" s="37">
        <f>IF([1]Source!I4712&lt;&gt;0, ROUND(I3841/[1]Source!I4712, 2), 0)</f>
        <v>865.92</v>
      </c>
      <c r="M3841"/>
      <c r="N3841"/>
      <c r="O3841"/>
      <c r="P3841"/>
      <c r="Q3841"/>
      <c r="AA3841" s="38">
        <f>I3841</f>
        <v>25977.599999999999</v>
      </c>
    </row>
    <row r="3842" spans="1:33" ht="42.75" x14ac:dyDescent="0.2">
      <c r="A3842" s="31">
        <v>479</v>
      </c>
      <c r="B3842" s="31" t="str">
        <f>[1]Source!F4713</f>
        <v>5.3-1102-8-1/1</v>
      </c>
      <c r="C3842" s="31" t="str">
        <f>[1]Source!G4713</f>
        <v>Уборка свежевыпавшего снега вручную толщиной слоя до 10 см ( S=30 м2*0,7*0,5=10,5 м2 )</v>
      </c>
      <c r="D3842" s="32" t="str">
        <f>[1]Source!H4713</f>
        <v>100 м2</v>
      </c>
      <c r="E3842" s="4">
        <f>[1]Source!I4713</f>
        <v>0.105</v>
      </c>
      <c r="F3842" s="33"/>
      <c r="G3842" s="34"/>
      <c r="H3842" s="4"/>
      <c r="I3842" s="4"/>
      <c r="J3842" s="33"/>
      <c r="K3842" s="33"/>
      <c r="M3842"/>
      <c r="N3842"/>
      <c r="O3842"/>
      <c r="P3842"/>
      <c r="Q3842"/>
      <c r="AB3842">
        <f>ROUND(([1]Source!BZ4713/100)*ROUND(([1]Source!AF4713*[1]Source!AV4713)*[1]Source!I4713, 2), 2)</f>
        <v>7959.52</v>
      </c>
      <c r="AC3842">
        <f>[1]Source!X4713</f>
        <v>7959.52</v>
      </c>
      <c r="AD3842">
        <f>ROUND(([1]Source!CA4713/100)*ROUND(([1]Source!AF4713*[1]Source!AV4713)*[1]Source!I4713, 2), 2)</f>
        <v>1137.07</v>
      </c>
      <c r="AE3842">
        <f>[1]Source!Y4713</f>
        <v>1137.07</v>
      </c>
      <c r="AF3842">
        <f>ROUND((175/100)*ROUND(([1]Source!AE4713*[1]Source!AV4713)*[1]Source!I4713, 2), 2)</f>
        <v>0</v>
      </c>
      <c r="AG3842">
        <f>ROUND((108/100)*ROUND([1]Source!CS4713*[1]Source!I4713, 2), 2)</f>
        <v>0</v>
      </c>
    </row>
    <row r="3843" spans="1:33" x14ac:dyDescent="0.2">
      <c r="C3843" s="40" t="str">
        <f>"Объем: "&amp;[1]Source!I4713&amp;"=10,5/"&amp;"100"</f>
        <v>Объем: 0,105=10,5/100</v>
      </c>
      <c r="M3843"/>
      <c r="N3843"/>
      <c r="O3843"/>
      <c r="P3843"/>
      <c r="Q3843"/>
    </row>
    <row r="3844" spans="1:33" ht="14.25" x14ac:dyDescent="0.2">
      <c r="A3844" s="31"/>
      <c r="B3844" s="31"/>
      <c r="C3844" s="31" t="s">
        <v>34</v>
      </c>
      <c r="D3844" s="32"/>
      <c r="E3844" s="4"/>
      <c r="F3844" s="33">
        <f>[1]Source!AO4713</f>
        <v>161.15</v>
      </c>
      <c r="G3844" s="34" t="str">
        <f>[1]Source!DG4713</f>
        <v>*4*168</v>
      </c>
      <c r="H3844" s="4">
        <f>[1]Source!AV4713</f>
        <v>1</v>
      </c>
      <c r="I3844" s="4">
        <f>IF([1]Source!BA4713&lt;&gt; 0, [1]Source!BA4713, 1)</f>
        <v>1</v>
      </c>
      <c r="J3844" s="33">
        <f>[1]Source!S4713</f>
        <v>11370.74</v>
      </c>
      <c r="K3844" s="33"/>
      <c r="M3844"/>
      <c r="N3844"/>
      <c r="O3844"/>
      <c r="P3844"/>
      <c r="Q3844"/>
    </row>
    <row r="3845" spans="1:33" ht="14.25" x14ac:dyDescent="0.2">
      <c r="A3845" s="31"/>
      <c r="B3845" s="31"/>
      <c r="C3845" s="31" t="s">
        <v>40</v>
      </c>
      <c r="D3845" s="32" t="s">
        <v>39</v>
      </c>
      <c r="E3845" s="4">
        <f>[1]Source!AT4713</f>
        <v>70</v>
      </c>
      <c r="F3845" s="33"/>
      <c r="G3845" s="34"/>
      <c r="H3845" s="4"/>
      <c r="I3845" s="4"/>
      <c r="J3845" s="33">
        <f>SUM(AC3842:AC3844)</f>
        <v>7959.52</v>
      </c>
      <c r="K3845" s="33"/>
      <c r="M3845"/>
      <c r="N3845"/>
      <c r="O3845"/>
      <c r="P3845"/>
      <c r="Q3845"/>
    </row>
    <row r="3846" spans="1:33" ht="14.25" x14ac:dyDescent="0.2">
      <c r="A3846" s="31"/>
      <c r="B3846" s="31"/>
      <c r="C3846" s="31" t="s">
        <v>41</v>
      </c>
      <c r="D3846" s="32" t="s">
        <v>39</v>
      </c>
      <c r="E3846" s="4">
        <f>[1]Source!AU4713</f>
        <v>10</v>
      </c>
      <c r="F3846" s="33"/>
      <c r="G3846" s="34"/>
      <c r="H3846" s="4"/>
      <c r="I3846" s="4"/>
      <c r="J3846" s="33">
        <f>SUM(AE3842:AE3845)</f>
        <v>1137.07</v>
      </c>
      <c r="K3846" s="33"/>
      <c r="M3846"/>
      <c r="N3846"/>
      <c r="O3846"/>
      <c r="P3846"/>
      <c r="Q3846"/>
    </row>
    <row r="3847" spans="1:33" ht="14.25" x14ac:dyDescent="0.2">
      <c r="A3847" s="31"/>
      <c r="B3847" s="31"/>
      <c r="C3847" s="31" t="s">
        <v>42</v>
      </c>
      <c r="D3847" s="32" t="s">
        <v>43</v>
      </c>
      <c r="E3847" s="4">
        <f>[1]Source!AQ4713</f>
        <v>0.65</v>
      </c>
      <c r="F3847" s="33"/>
      <c r="G3847" s="34" t="str">
        <f>[1]Source!DI4713</f>
        <v>*4*168</v>
      </c>
      <c r="H3847" s="4">
        <f>[1]Source!AV4713</f>
        <v>1</v>
      </c>
      <c r="I3847" s="4"/>
      <c r="J3847" s="33"/>
      <c r="K3847" s="33">
        <f>[1]Source!U4713</f>
        <v>45.863999999999997</v>
      </c>
      <c r="M3847"/>
      <c r="N3847"/>
      <c r="O3847"/>
      <c r="P3847"/>
      <c r="Q3847"/>
    </row>
    <row r="3848" spans="1:33" ht="15" x14ac:dyDescent="0.25">
      <c r="A3848" s="35"/>
      <c r="B3848" s="35"/>
      <c r="C3848" s="35"/>
      <c r="D3848" s="35"/>
      <c r="E3848" s="35"/>
      <c r="F3848" s="35"/>
      <c r="G3848" s="35"/>
      <c r="H3848" s="35"/>
      <c r="I3848" s="36">
        <f>J3844+J3845+J3846</f>
        <v>20467.330000000002</v>
      </c>
      <c r="J3848" s="36"/>
      <c r="K3848" s="37">
        <f>IF([1]Source!I4713&lt;&gt;0, ROUND(I3848/[1]Source!I4713, 2), 0)</f>
        <v>194926.95</v>
      </c>
      <c r="M3848"/>
      <c r="N3848"/>
      <c r="O3848"/>
      <c r="P3848"/>
      <c r="Q3848"/>
      <c r="AA3848" s="38">
        <f>I3848</f>
        <v>20467.330000000002</v>
      </c>
    </row>
    <row r="3849" spans="1:33" ht="28.5" x14ac:dyDescent="0.2">
      <c r="A3849" s="31">
        <v>480</v>
      </c>
      <c r="B3849" s="31" t="str">
        <f>[1]Source!F4714</f>
        <v>5.3-1102-8-3/1</v>
      </c>
      <c r="C3849" s="31" t="str">
        <f>[1]Source!G4714</f>
        <v>Уборка слежавшегося снега вручную ( S= 30м2*0,7*0,5=10,5 м2)</v>
      </c>
      <c r="D3849" s="32" t="str">
        <f>[1]Source!H4714</f>
        <v>100 м2</v>
      </c>
      <c r="E3849" s="4">
        <f>[1]Source!I4714</f>
        <v>0.105</v>
      </c>
      <c r="F3849" s="33"/>
      <c r="G3849" s="34"/>
      <c r="H3849" s="4"/>
      <c r="I3849" s="4"/>
      <c r="J3849" s="33"/>
      <c r="K3849" s="33"/>
      <c r="M3849"/>
      <c r="N3849"/>
      <c r="O3849"/>
      <c r="P3849"/>
      <c r="Q3849"/>
      <c r="AB3849">
        <f>ROUND(([1]Source!BZ4714/100)*ROUND(([1]Source!AF4714*[1]Source!AV4714)*[1]Source!I4714, 2), 2)</f>
        <v>4683.97</v>
      </c>
      <c r="AC3849">
        <f>[1]Source!X4714</f>
        <v>4683.97</v>
      </c>
      <c r="AD3849">
        <f>ROUND(([1]Source!CA4714/100)*ROUND(([1]Source!AF4714*[1]Source!AV4714)*[1]Source!I4714, 2), 2)</f>
        <v>669.14</v>
      </c>
      <c r="AE3849">
        <f>[1]Source!Y4714</f>
        <v>669.14</v>
      </c>
      <c r="AF3849">
        <f>ROUND((175/100)*ROUND(([1]Source!AE4714*[1]Source!AV4714)*[1]Source!I4714, 2), 2)</f>
        <v>0</v>
      </c>
      <c r="AG3849">
        <f>ROUND((108/100)*ROUND([1]Source!CS4714*[1]Source!I4714, 2), 2)</f>
        <v>0</v>
      </c>
    </row>
    <row r="3850" spans="1:33" x14ac:dyDescent="0.2">
      <c r="C3850" s="40" t="str">
        <f>"Объем: "&amp;[1]Source!I4714&amp;"=10,5/"&amp;"100"</f>
        <v>Объем: 0,105=10,5/100</v>
      </c>
      <c r="M3850"/>
      <c r="N3850"/>
      <c r="O3850"/>
      <c r="P3850"/>
      <c r="Q3850"/>
    </row>
    <row r="3851" spans="1:33" ht="14.25" x14ac:dyDescent="0.2">
      <c r="A3851" s="31"/>
      <c r="B3851" s="31"/>
      <c r="C3851" s="31" t="s">
        <v>34</v>
      </c>
      <c r="D3851" s="32"/>
      <c r="E3851" s="4"/>
      <c r="F3851" s="33">
        <f>[1]Source!AO4714</f>
        <v>379.33</v>
      </c>
      <c r="G3851" s="34" t="str">
        <f>[1]Source!DG4714</f>
        <v>)*1*168</v>
      </c>
      <c r="H3851" s="4">
        <f>[1]Source!AV4714</f>
        <v>1</v>
      </c>
      <c r="I3851" s="4">
        <f>IF([1]Source!BA4714&lt;&gt; 0, [1]Source!BA4714, 1)</f>
        <v>1</v>
      </c>
      <c r="J3851" s="33">
        <f>[1]Source!S4714</f>
        <v>6691.38</v>
      </c>
      <c r="K3851" s="33"/>
      <c r="M3851"/>
      <c r="N3851"/>
      <c r="O3851"/>
      <c r="P3851"/>
      <c r="Q3851"/>
    </row>
    <row r="3852" spans="1:33" ht="14.25" x14ac:dyDescent="0.2">
      <c r="A3852" s="31"/>
      <c r="B3852" s="31"/>
      <c r="C3852" s="31" t="s">
        <v>40</v>
      </c>
      <c r="D3852" s="32" t="s">
        <v>39</v>
      </c>
      <c r="E3852" s="4">
        <f>[1]Source!AT4714</f>
        <v>70</v>
      </c>
      <c r="F3852" s="33"/>
      <c r="G3852" s="34"/>
      <c r="H3852" s="4"/>
      <c r="I3852" s="4"/>
      <c r="J3852" s="33">
        <f>SUM(AC3849:AC3851)</f>
        <v>4683.97</v>
      </c>
      <c r="K3852" s="33"/>
      <c r="M3852"/>
      <c r="N3852"/>
      <c r="O3852"/>
      <c r="P3852"/>
      <c r="Q3852"/>
    </row>
    <row r="3853" spans="1:33" ht="14.25" x14ac:dyDescent="0.2">
      <c r="A3853" s="31"/>
      <c r="B3853" s="31"/>
      <c r="C3853" s="31" t="s">
        <v>41</v>
      </c>
      <c r="D3853" s="32" t="s">
        <v>39</v>
      </c>
      <c r="E3853" s="4">
        <f>[1]Source!AU4714</f>
        <v>10</v>
      </c>
      <c r="F3853" s="33"/>
      <c r="G3853" s="34"/>
      <c r="H3853" s="4"/>
      <c r="I3853" s="4"/>
      <c r="J3853" s="33">
        <f>SUM(AE3849:AE3852)</f>
        <v>669.14</v>
      </c>
      <c r="K3853" s="33"/>
      <c r="M3853"/>
      <c r="N3853"/>
      <c r="O3853"/>
      <c r="P3853"/>
      <c r="Q3853"/>
    </row>
    <row r="3854" spans="1:33" ht="14.25" x14ac:dyDescent="0.2">
      <c r="A3854" s="31"/>
      <c r="B3854" s="31"/>
      <c r="C3854" s="31" t="s">
        <v>42</v>
      </c>
      <c r="D3854" s="32" t="s">
        <v>43</v>
      </c>
      <c r="E3854" s="4">
        <f>[1]Source!AQ4714</f>
        <v>1.53</v>
      </c>
      <c r="F3854" s="33"/>
      <c r="G3854" s="34" t="str">
        <f>[1]Source!DI4714</f>
        <v>)*1*168</v>
      </c>
      <c r="H3854" s="4">
        <f>[1]Source!AV4714</f>
        <v>1</v>
      </c>
      <c r="I3854" s="4"/>
      <c r="J3854" s="33"/>
      <c r="K3854" s="33">
        <f>[1]Source!U4714</f>
        <v>26.9892</v>
      </c>
      <c r="M3854"/>
      <c r="N3854"/>
      <c r="O3854"/>
      <c r="P3854"/>
      <c r="Q3854"/>
    </row>
    <row r="3855" spans="1:33" ht="15" x14ac:dyDescent="0.25">
      <c r="A3855" s="35"/>
      <c r="B3855" s="35"/>
      <c r="C3855" s="35"/>
      <c r="D3855" s="35"/>
      <c r="E3855" s="35"/>
      <c r="F3855" s="35"/>
      <c r="G3855" s="35"/>
      <c r="H3855" s="35"/>
      <c r="I3855" s="36">
        <f>J3851+J3852+J3853</f>
        <v>12044.49</v>
      </c>
      <c r="J3855" s="36"/>
      <c r="K3855" s="37">
        <f>IF([1]Source!I4714&lt;&gt;0, ROUND(I3855/[1]Source!I4714, 2), 0)</f>
        <v>114709.43</v>
      </c>
      <c r="M3855"/>
      <c r="N3855"/>
      <c r="O3855"/>
      <c r="P3855"/>
      <c r="Q3855"/>
      <c r="AA3855" s="38">
        <f>I3855</f>
        <v>12044.49</v>
      </c>
    </row>
    <row r="3856" spans="1:33" ht="42.75" x14ac:dyDescent="0.2">
      <c r="A3856" s="31">
        <v>481</v>
      </c>
      <c r="B3856" s="31" t="str">
        <f>[1]Source!F4715</f>
        <v>5.3-1102-8-1/1</v>
      </c>
      <c r="C3856" s="31" t="str">
        <f>[1]Source!G4715</f>
        <v>Уборка свежевыпавшего снега вручную толщиной слоя до 10 см ( S= 30 м2*0,3*0,5=4,5м2)</v>
      </c>
      <c r="D3856" s="32" t="str">
        <f>[1]Source!H4715</f>
        <v>100 м2</v>
      </c>
      <c r="E3856" s="4">
        <f>[1]Source!I4715</f>
        <v>4.4999999999999998E-2</v>
      </c>
      <c r="F3856" s="33"/>
      <c r="G3856" s="34"/>
      <c r="H3856" s="4"/>
      <c r="I3856" s="4"/>
      <c r="J3856" s="33"/>
      <c r="K3856" s="33"/>
      <c r="M3856"/>
      <c r="N3856"/>
      <c r="O3856"/>
      <c r="P3856"/>
      <c r="Q3856"/>
      <c r="AB3856">
        <f>ROUND(([1]Source!BZ4715/100)*ROUND(([1]Source!AF4715*[1]Source!AV4715)*[1]Source!I4715, 2), 2)</f>
        <v>3411.23</v>
      </c>
      <c r="AC3856">
        <f>[1]Source!X4715</f>
        <v>3411.23</v>
      </c>
      <c r="AD3856">
        <f>ROUND(([1]Source!CA4715/100)*ROUND(([1]Source!AF4715*[1]Source!AV4715)*[1]Source!I4715, 2), 2)</f>
        <v>487.32</v>
      </c>
      <c r="AE3856">
        <f>[1]Source!Y4715</f>
        <v>487.32</v>
      </c>
      <c r="AF3856">
        <f>ROUND((175/100)*ROUND(([1]Source!AE4715*[1]Source!AV4715)*[1]Source!I4715, 2), 2)</f>
        <v>0</v>
      </c>
      <c r="AG3856">
        <f>ROUND((108/100)*ROUND([1]Source!CS4715*[1]Source!I4715, 2), 2)</f>
        <v>0</v>
      </c>
    </row>
    <row r="3857" spans="1:33" x14ac:dyDescent="0.2">
      <c r="C3857" s="40" t="str">
        <f>"Объем: "&amp;[1]Source!I4715&amp;"=4,5/"&amp;"100"</f>
        <v>Объем: 0,045=4,5/100</v>
      </c>
      <c r="M3857"/>
      <c r="N3857"/>
      <c r="O3857"/>
      <c r="P3857"/>
      <c r="Q3857"/>
    </row>
    <row r="3858" spans="1:33" ht="14.25" x14ac:dyDescent="0.2">
      <c r="A3858" s="31"/>
      <c r="B3858" s="31"/>
      <c r="C3858" s="31" t="s">
        <v>34</v>
      </c>
      <c r="D3858" s="32"/>
      <c r="E3858" s="4"/>
      <c r="F3858" s="33">
        <f>[1]Source!AO4715</f>
        <v>161.15</v>
      </c>
      <c r="G3858" s="34" t="str">
        <f>[1]Source!DG4715</f>
        <v>*4*168</v>
      </c>
      <c r="H3858" s="4">
        <f>[1]Source!AV4715</f>
        <v>1</v>
      </c>
      <c r="I3858" s="4">
        <f>IF([1]Source!BA4715&lt;&gt; 0, [1]Source!BA4715, 1)</f>
        <v>1</v>
      </c>
      <c r="J3858" s="33">
        <f>[1]Source!S4715</f>
        <v>4873.18</v>
      </c>
      <c r="K3858" s="33"/>
      <c r="M3858"/>
      <c r="N3858"/>
      <c r="O3858"/>
      <c r="P3858"/>
      <c r="Q3858"/>
    </row>
    <row r="3859" spans="1:33" ht="14.25" x14ac:dyDescent="0.2">
      <c r="A3859" s="31"/>
      <c r="B3859" s="31"/>
      <c r="C3859" s="31" t="s">
        <v>40</v>
      </c>
      <c r="D3859" s="32" t="s">
        <v>39</v>
      </c>
      <c r="E3859" s="4">
        <f>[1]Source!AT4715</f>
        <v>70</v>
      </c>
      <c r="F3859" s="33"/>
      <c r="G3859" s="34"/>
      <c r="H3859" s="4"/>
      <c r="I3859" s="4"/>
      <c r="J3859" s="33">
        <f>SUM(AC3856:AC3858)</f>
        <v>3411.23</v>
      </c>
      <c r="K3859" s="33"/>
      <c r="M3859"/>
      <c r="N3859"/>
      <c r="O3859"/>
      <c r="P3859"/>
      <c r="Q3859"/>
    </row>
    <row r="3860" spans="1:33" ht="14.25" x14ac:dyDescent="0.2">
      <c r="A3860" s="31"/>
      <c r="B3860" s="31"/>
      <c r="C3860" s="31" t="s">
        <v>41</v>
      </c>
      <c r="D3860" s="32" t="s">
        <v>39</v>
      </c>
      <c r="E3860" s="4">
        <f>[1]Source!AU4715</f>
        <v>10</v>
      </c>
      <c r="F3860" s="33"/>
      <c r="G3860" s="34"/>
      <c r="H3860" s="4"/>
      <c r="I3860" s="4"/>
      <c r="J3860" s="33">
        <f>SUM(AE3856:AE3859)</f>
        <v>487.32</v>
      </c>
      <c r="K3860" s="33"/>
      <c r="M3860"/>
      <c r="N3860"/>
      <c r="O3860"/>
      <c r="P3860"/>
      <c r="Q3860"/>
    </row>
    <row r="3861" spans="1:33" ht="14.25" x14ac:dyDescent="0.2">
      <c r="A3861" s="31"/>
      <c r="B3861" s="31"/>
      <c r="C3861" s="31" t="s">
        <v>42</v>
      </c>
      <c r="D3861" s="32" t="s">
        <v>43</v>
      </c>
      <c r="E3861" s="4">
        <f>[1]Source!AQ4715</f>
        <v>0.65</v>
      </c>
      <c r="F3861" s="33"/>
      <c r="G3861" s="34" t="str">
        <f>[1]Source!DI4715</f>
        <v>*4*168</v>
      </c>
      <c r="H3861" s="4">
        <f>[1]Source!AV4715</f>
        <v>1</v>
      </c>
      <c r="I3861" s="4"/>
      <c r="J3861" s="33"/>
      <c r="K3861" s="33">
        <f>[1]Source!U4715</f>
        <v>19.655999999999999</v>
      </c>
      <c r="M3861"/>
      <c r="N3861"/>
      <c r="O3861"/>
      <c r="P3861"/>
      <c r="Q3861"/>
    </row>
    <row r="3862" spans="1:33" ht="15" x14ac:dyDescent="0.25">
      <c r="A3862" s="35"/>
      <c r="B3862" s="35"/>
      <c r="C3862" s="35"/>
      <c r="D3862" s="35"/>
      <c r="E3862" s="35"/>
      <c r="F3862" s="35"/>
      <c r="G3862" s="35"/>
      <c r="H3862" s="35"/>
      <c r="I3862" s="36">
        <f>J3858+J3859+J3860</f>
        <v>8771.73</v>
      </c>
      <c r="J3862" s="36"/>
      <c r="K3862" s="37">
        <f>IF([1]Source!I4715&lt;&gt;0, ROUND(I3862/[1]Source!I4715, 2), 0)</f>
        <v>194927.33</v>
      </c>
      <c r="M3862"/>
      <c r="N3862"/>
      <c r="O3862"/>
      <c r="P3862"/>
      <c r="Q3862"/>
      <c r="AA3862" s="38">
        <f>I3862</f>
        <v>8771.73</v>
      </c>
    </row>
    <row r="3863" spans="1:33" ht="57" x14ac:dyDescent="0.2">
      <c r="A3863" s="31">
        <v>482</v>
      </c>
      <c r="B3863" s="31" t="str">
        <f>[1]Source!F4716</f>
        <v>5.3-1102-8-2/1</v>
      </c>
      <c r="C3863" s="31" t="str">
        <f>[1]Source!G4716</f>
        <v>Уборка свежевыпавшего снега вручную, добавлять на каждые следующие 10 см увеличения толщины слоя</v>
      </c>
      <c r="D3863" s="32" t="str">
        <f>[1]Source!H4716</f>
        <v>100 м2</v>
      </c>
      <c r="E3863" s="4">
        <f>[1]Source!I4716</f>
        <v>4.4999999999999998E-2</v>
      </c>
      <c r="F3863" s="33"/>
      <c r="G3863" s="34"/>
      <c r="H3863" s="4"/>
      <c r="I3863" s="4"/>
      <c r="J3863" s="33"/>
      <c r="K3863" s="33"/>
      <c r="M3863"/>
      <c r="N3863"/>
      <c r="O3863"/>
      <c r="P3863"/>
      <c r="Q3863"/>
      <c r="AB3863">
        <f>ROUND(([1]Source!BZ4716/100)*ROUND(([1]Source!AF4716*[1]Source!AV4716)*[1]Source!I4716, 2), 2)</f>
        <v>2466.71</v>
      </c>
      <c r="AC3863">
        <f>[1]Source!X4716</f>
        <v>2466.71</v>
      </c>
      <c r="AD3863">
        <f>ROUND(([1]Source!CA4716/100)*ROUND(([1]Source!AF4716*[1]Source!AV4716)*[1]Source!I4716, 2), 2)</f>
        <v>352.39</v>
      </c>
      <c r="AE3863">
        <f>[1]Source!Y4716</f>
        <v>352.39</v>
      </c>
      <c r="AF3863">
        <f>ROUND((175/100)*ROUND(([1]Source!AE4716*[1]Source!AV4716)*[1]Source!I4716, 2), 2)</f>
        <v>0</v>
      </c>
      <c r="AG3863">
        <f>ROUND((108/100)*ROUND([1]Source!CS4716*[1]Source!I4716, 2), 2)</f>
        <v>0</v>
      </c>
    </row>
    <row r="3864" spans="1:33" x14ac:dyDescent="0.2">
      <c r="C3864" s="40" t="str">
        <f>"Объем: "&amp;[1]Source!I4716&amp;"=4,5/"&amp;"100"</f>
        <v>Объем: 0,045=4,5/100</v>
      </c>
      <c r="M3864"/>
      <c r="N3864"/>
      <c r="O3864"/>
      <c r="P3864"/>
      <c r="Q3864"/>
    </row>
    <row r="3865" spans="1:33" ht="14.25" x14ac:dyDescent="0.2">
      <c r="A3865" s="31"/>
      <c r="B3865" s="31"/>
      <c r="C3865" s="31" t="s">
        <v>34</v>
      </c>
      <c r="D3865" s="32"/>
      <c r="E3865" s="4"/>
      <c r="F3865" s="33">
        <f>[1]Source!AO4716</f>
        <v>116.53</v>
      </c>
      <c r="G3865" s="34" t="str">
        <f>[1]Source!DG4716</f>
        <v>*4*168</v>
      </c>
      <c r="H3865" s="4">
        <f>[1]Source!AV4716</f>
        <v>1</v>
      </c>
      <c r="I3865" s="4">
        <f>IF([1]Source!BA4716&lt;&gt; 0, [1]Source!BA4716, 1)</f>
        <v>1</v>
      </c>
      <c r="J3865" s="33">
        <f>[1]Source!S4716</f>
        <v>3523.87</v>
      </c>
      <c r="K3865" s="33"/>
      <c r="M3865"/>
      <c r="N3865"/>
      <c r="O3865"/>
      <c r="P3865"/>
      <c r="Q3865"/>
    </row>
    <row r="3866" spans="1:33" ht="14.25" x14ac:dyDescent="0.2">
      <c r="A3866" s="31"/>
      <c r="B3866" s="31"/>
      <c r="C3866" s="31" t="s">
        <v>40</v>
      </c>
      <c r="D3866" s="32" t="s">
        <v>39</v>
      </c>
      <c r="E3866" s="4">
        <f>[1]Source!AT4716</f>
        <v>70</v>
      </c>
      <c r="F3866" s="33"/>
      <c r="G3866" s="34"/>
      <c r="H3866" s="4"/>
      <c r="I3866" s="4"/>
      <c r="J3866" s="33">
        <f>SUM(AC3863:AC3865)</f>
        <v>2466.71</v>
      </c>
      <c r="K3866" s="33"/>
      <c r="M3866"/>
      <c r="N3866"/>
      <c r="O3866"/>
      <c r="P3866"/>
      <c r="Q3866"/>
    </row>
    <row r="3867" spans="1:33" ht="14.25" x14ac:dyDescent="0.2">
      <c r="A3867" s="31"/>
      <c r="B3867" s="31"/>
      <c r="C3867" s="31" t="s">
        <v>41</v>
      </c>
      <c r="D3867" s="32" t="s">
        <v>39</v>
      </c>
      <c r="E3867" s="4">
        <f>[1]Source!AU4716</f>
        <v>10</v>
      </c>
      <c r="F3867" s="33"/>
      <c r="G3867" s="34"/>
      <c r="H3867" s="4"/>
      <c r="I3867" s="4"/>
      <c r="J3867" s="33">
        <f>SUM(AE3863:AE3866)</f>
        <v>352.39</v>
      </c>
      <c r="K3867" s="33"/>
      <c r="M3867"/>
      <c r="N3867"/>
      <c r="O3867"/>
      <c r="P3867"/>
      <c r="Q3867"/>
    </row>
    <row r="3868" spans="1:33" ht="14.25" x14ac:dyDescent="0.2">
      <c r="A3868" s="31"/>
      <c r="B3868" s="31"/>
      <c r="C3868" s="31" t="s">
        <v>42</v>
      </c>
      <c r="D3868" s="32" t="s">
        <v>43</v>
      </c>
      <c r="E3868" s="4">
        <f>[1]Source!AQ4716</f>
        <v>0.47</v>
      </c>
      <c r="F3868" s="33"/>
      <c r="G3868" s="34" t="str">
        <f>[1]Source!DI4716</f>
        <v>*4*168</v>
      </c>
      <c r="H3868" s="4">
        <f>[1]Source!AV4716</f>
        <v>1</v>
      </c>
      <c r="I3868" s="4"/>
      <c r="J3868" s="33"/>
      <c r="K3868" s="33">
        <f>[1]Source!U4716</f>
        <v>14.212799999999998</v>
      </c>
      <c r="M3868"/>
      <c r="N3868"/>
      <c r="O3868"/>
      <c r="P3868"/>
      <c r="Q3868"/>
    </row>
    <row r="3869" spans="1:33" ht="15" x14ac:dyDescent="0.25">
      <c r="A3869" s="35"/>
      <c r="B3869" s="35"/>
      <c r="C3869" s="35"/>
      <c r="D3869" s="35"/>
      <c r="E3869" s="35"/>
      <c r="F3869" s="35"/>
      <c r="G3869" s="35"/>
      <c r="H3869" s="35"/>
      <c r="I3869" s="36">
        <f>J3865+J3866+J3867</f>
        <v>6342.97</v>
      </c>
      <c r="J3869" s="36"/>
      <c r="K3869" s="37">
        <f>IF([1]Source!I4716&lt;&gt;0, ROUND(I3869/[1]Source!I4716, 2), 0)</f>
        <v>140954.89000000001</v>
      </c>
      <c r="M3869"/>
      <c r="N3869"/>
      <c r="O3869"/>
      <c r="P3869"/>
      <c r="Q3869"/>
      <c r="AA3869" s="38">
        <f>I3869</f>
        <v>6342.97</v>
      </c>
    </row>
    <row r="3870" spans="1:33" ht="42.75" x14ac:dyDescent="0.2">
      <c r="A3870" s="31">
        <v>483</v>
      </c>
      <c r="B3870" s="31" t="str">
        <f>[1]Source!F4717</f>
        <v>5.3-1102-9-1/1</v>
      </c>
      <c r="C3870" s="31" t="str">
        <f>[1]Source!G4717</f>
        <v>Колка льда на обледеневших покрытиях вручную ( S= 30 м2*0,3*0,5=4,5 м2 )</v>
      </c>
      <c r="D3870" s="32" t="str">
        <f>[1]Source!H4717</f>
        <v>100 м2</v>
      </c>
      <c r="E3870" s="4">
        <f>[1]Source!I4717</f>
        <v>4.4999999999999998E-2</v>
      </c>
      <c r="F3870" s="33"/>
      <c r="G3870" s="34"/>
      <c r="H3870" s="4"/>
      <c r="I3870" s="4"/>
      <c r="J3870" s="33"/>
      <c r="K3870" s="33"/>
      <c r="M3870"/>
      <c r="N3870"/>
      <c r="O3870"/>
      <c r="P3870"/>
      <c r="Q3870"/>
      <c r="AB3870">
        <f>ROUND(([1]Source!BZ4717/100)*ROUND(([1]Source!AF4717*[1]Source!AV4717)*[1]Source!I4717, 2), 2)</f>
        <v>6324.05</v>
      </c>
      <c r="AC3870">
        <f>[1]Source!X4717</f>
        <v>6324.05</v>
      </c>
      <c r="AD3870">
        <f>ROUND(([1]Source!CA4717/100)*ROUND(([1]Source!AF4717*[1]Source!AV4717)*[1]Source!I4717, 2), 2)</f>
        <v>903.44</v>
      </c>
      <c r="AE3870">
        <f>[1]Source!Y4717</f>
        <v>903.44</v>
      </c>
      <c r="AF3870">
        <f>ROUND((175/100)*ROUND(([1]Source!AE4717*[1]Source!AV4717)*[1]Source!I4717, 2), 2)</f>
        <v>0</v>
      </c>
      <c r="AG3870">
        <f>ROUND((108/100)*ROUND([1]Source!CS4717*[1]Source!I4717, 2), 2)</f>
        <v>0</v>
      </c>
    </row>
    <row r="3871" spans="1:33" x14ac:dyDescent="0.2">
      <c r="C3871" s="40" t="str">
        <f>"Объем: "&amp;[1]Source!I4717&amp;"=4,5/"&amp;"100"</f>
        <v>Объем: 0,045=4,5/100</v>
      </c>
      <c r="M3871"/>
      <c r="N3871"/>
      <c r="O3871"/>
      <c r="P3871"/>
      <c r="Q3871"/>
    </row>
    <row r="3872" spans="1:33" ht="14.25" x14ac:dyDescent="0.2">
      <c r="A3872" s="31"/>
      <c r="B3872" s="31"/>
      <c r="C3872" s="31" t="s">
        <v>34</v>
      </c>
      <c r="D3872" s="32"/>
      <c r="E3872" s="4"/>
      <c r="F3872" s="33">
        <f>[1]Source!AO4717</f>
        <v>597.51</v>
      </c>
      <c r="G3872" s="34" t="str">
        <f>[1]Source!DG4717</f>
        <v>)*2*168</v>
      </c>
      <c r="H3872" s="4">
        <f>[1]Source!AV4717</f>
        <v>1</v>
      </c>
      <c r="I3872" s="4">
        <f>IF([1]Source!BA4717&lt;&gt; 0, [1]Source!BA4717, 1)</f>
        <v>1</v>
      </c>
      <c r="J3872" s="33">
        <f>[1]Source!S4717</f>
        <v>9034.35</v>
      </c>
      <c r="K3872" s="33"/>
      <c r="M3872"/>
      <c r="N3872"/>
      <c r="O3872"/>
      <c r="P3872"/>
      <c r="Q3872"/>
    </row>
    <row r="3873" spans="1:33" ht="14.25" x14ac:dyDescent="0.2">
      <c r="A3873" s="31"/>
      <c r="B3873" s="31"/>
      <c r="C3873" s="31" t="s">
        <v>40</v>
      </c>
      <c r="D3873" s="32" t="s">
        <v>39</v>
      </c>
      <c r="E3873" s="4">
        <f>[1]Source!AT4717</f>
        <v>70</v>
      </c>
      <c r="F3873" s="33"/>
      <c r="G3873" s="34"/>
      <c r="H3873" s="4"/>
      <c r="I3873" s="4"/>
      <c r="J3873" s="33">
        <f>SUM(AC3870:AC3872)</f>
        <v>6324.05</v>
      </c>
      <c r="K3873" s="33"/>
      <c r="M3873"/>
      <c r="N3873"/>
      <c r="O3873"/>
      <c r="P3873"/>
      <c r="Q3873"/>
    </row>
    <row r="3874" spans="1:33" ht="14.25" x14ac:dyDescent="0.2">
      <c r="A3874" s="31"/>
      <c r="B3874" s="31"/>
      <c r="C3874" s="31" t="s">
        <v>41</v>
      </c>
      <c r="D3874" s="32" t="s">
        <v>39</v>
      </c>
      <c r="E3874" s="4">
        <f>[1]Source!AU4717</f>
        <v>10</v>
      </c>
      <c r="F3874" s="33"/>
      <c r="G3874" s="34"/>
      <c r="H3874" s="4"/>
      <c r="I3874" s="4"/>
      <c r="J3874" s="33">
        <f>SUM(AE3870:AE3873)</f>
        <v>903.44</v>
      </c>
      <c r="K3874" s="33"/>
      <c r="M3874"/>
      <c r="N3874"/>
      <c r="O3874"/>
      <c r="P3874"/>
      <c r="Q3874"/>
    </row>
    <row r="3875" spans="1:33" ht="14.25" x14ac:dyDescent="0.2">
      <c r="A3875" s="31"/>
      <c r="B3875" s="31"/>
      <c r="C3875" s="31" t="s">
        <v>42</v>
      </c>
      <c r="D3875" s="32" t="s">
        <v>43</v>
      </c>
      <c r="E3875" s="4">
        <f>[1]Source!AQ4717</f>
        <v>2.41</v>
      </c>
      <c r="F3875" s="33"/>
      <c r="G3875" s="34" t="str">
        <f>[1]Source!DI4717</f>
        <v>)*2*168</v>
      </c>
      <c r="H3875" s="4">
        <f>[1]Source!AV4717</f>
        <v>1</v>
      </c>
      <c r="I3875" s="4"/>
      <c r="J3875" s="33"/>
      <c r="K3875" s="33">
        <f>[1]Source!U4717</f>
        <v>36.4392</v>
      </c>
      <c r="M3875"/>
      <c r="N3875"/>
      <c r="O3875"/>
      <c r="P3875"/>
      <c r="Q3875"/>
    </row>
    <row r="3876" spans="1:33" ht="15" x14ac:dyDescent="0.25">
      <c r="A3876" s="35"/>
      <c r="B3876" s="35"/>
      <c r="C3876" s="35"/>
      <c r="D3876" s="35"/>
      <c r="E3876" s="35"/>
      <c r="F3876" s="35"/>
      <c r="G3876" s="35"/>
      <c r="H3876" s="35"/>
      <c r="I3876" s="36">
        <f>J3872+J3873+J3874</f>
        <v>16261.840000000002</v>
      </c>
      <c r="J3876" s="36"/>
      <c r="K3876" s="37">
        <f>IF([1]Source!I4717&lt;&gt;0, ROUND(I3876/[1]Source!I4717, 2), 0)</f>
        <v>361374.22</v>
      </c>
      <c r="M3876"/>
      <c r="N3876"/>
      <c r="O3876"/>
      <c r="P3876"/>
      <c r="Q3876"/>
      <c r="AA3876" s="38">
        <f>I3876</f>
        <v>16261.840000000002</v>
      </c>
    </row>
    <row r="3877" spans="1:33" ht="28.5" x14ac:dyDescent="0.2">
      <c r="A3877" s="31">
        <v>484</v>
      </c>
      <c r="B3877" s="31" t="str">
        <f>[1]Source!F4718</f>
        <v>калькуляция</v>
      </c>
      <c r="C3877" s="31" t="str">
        <f>[1]Source!G4718</f>
        <v>Посыпка  гранитной крошкой дорожных покрытий вручную( 100г/м2 )</v>
      </c>
      <c r="D3877" s="32" t="str">
        <f>[1]Source!H4718</f>
        <v>м2</v>
      </c>
      <c r="E3877" s="4">
        <f>[1]Source!I4718</f>
        <v>30</v>
      </c>
      <c r="F3877" s="33"/>
      <c r="G3877" s="34"/>
      <c r="H3877" s="4"/>
      <c r="I3877" s="4"/>
      <c r="J3877" s="33"/>
      <c r="K3877" s="33"/>
      <c r="M3877"/>
      <c r="N3877"/>
      <c r="O3877"/>
      <c r="P3877"/>
      <c r="Q3877"/>
      <c r="AB3877">
        <f>ROUND(([1]Source!BZ4718/100)*ROUND(([1]Source!AF4718*[1]Source!AV4718)*[1]Source!I4718, 2), 2)</f>
        <v>0</v>
      </c>
      <c r="AC3877">
        <f>[1]Source!X4718</f>
        <v>0</v>
      </c>
      <c r="AD3877">
        <f>ROUND(([1]Source!CA4718/100)*ROUND(([1]Source!AF4718*[1]Source!AV4718)*[1]Source!I4718, 2), 2)</f>
        <v>0</v>
      </c>
      <c r="AE3877">
        <f>[1]Source!Y4718</f>
        <v>0</v>
      </c>
      <c r="AF3877">
        <f>ROUND((175/100)*ROUND(([1]Source!AE4718*[1]Source!AV4718)*[1]Source!I4718, 2), 2)</f>
        <v>0</v>
      </c>
      <c r="AG3877">
        <f>ROUND((108/100)*ROUND([1]Source!CS4718*[1]Source!I4718, 2), 2)</f>
        <v>0</v>
      </c>
    </row>
    <row r="3878" spans="1:33" ht="14.25" x14ac:dyDescent="0.2">
      <c r="A3878" s="31"/>
      <c r="B3878" s="31"/>
      <c r="C3878" s="31" t="s">
        <v>34</v>
      </c>
      <c r="D3878" s="32"/>
      <c r="E3878" s="4"/>
      <c r="F3878" s="33">
        <f>[1]Source!AO4718</f>
        <v>2.08</v>
      </c>
      <c r="G3878" s="34" t="str">
        <f>[1]Source!DG4718</f>
        <v>*4*168</v>
      </c>
      <c r="H3878" s="4">
        <f>[1]Source!AV4718</f>
        <v>1</v>
      </c>
      <c r="I3878" s="4">
        <f>IF([1]Source!BA4718&lt;&gt; 0, [1]Source!BA4718, 1)</f>
        <v>1</v>
      </c>
      <c r="J3878" s="33">
        <f>[1]Source!S4718</f>
        <v>41932.800000000003</v>
      </c>
      <c r="K3878" s="33"/>
      <c r="M3878"/>
      <c r="N3878"/>
      <c r="O3878"/>
      <c r="P3878"/>
      <c r="Q3878"/>
    </row>
    <row r="3879" spans="1:33" ht="14.25" x14ac:dyDescent="0.2">
      <c r="A3879" s="31" t="s">
        <v>190</v>
      </c>
      <c r="B3879" s="31" t="str">
        <f>[1]Source!F4719</f>
        <v>цена поставщика</v>
      </c>
      <c r="C3879" s="31" t="str">
        <f>[1]Source!G4719</f>
        <v>Крошка гранитная</v>
      </c>
      <c r="D3879" s="32" t="str">
        <f>[1]Source!H4719</f>
        <v>кг</v>
      </c>
      <c r="E3879" s="4">
        <f>[1]Source!I4719</f>
        <v>2016</v>
      </c>
      <c r="F3879" s="33">
        <f>[1]Source!AK4719</f>
        <v>4.43</v>
      </c>
      <c r="G3879" s="39" t="s">
        <v>68</v>
      </c>
      <c r="H3879" s="4">
        <f>[1]Source!AW4719</f>
        <v>1</v>
      </c>
      <c r="I3879" s="4">
        <f>IF([1]Source!BC4719&lt;&gt; 0, [1]Source!BC4719, 1)</f>
        <v>1</v>
      </c>
      <c r="J3879" s="33">
        <f>[1]Source!O4719</f>
        <v>8930.8799999999992</v>
      </c>
      <c r="K3879" s="33"/>
      <c r="M3879"/>
      <c r="N3879"/>
      <c r="O3879"/>
      <c r="P3879"/>
      <c r="Q3879"/>
      <c r="AB3879">
        <f>ROUND(([1]Source!BZ4719/100)*ROUND(([1]Source!AF4719*[1]Source!AV4719)*[1]Source!I4719, 2), 2)</f>
        <v>0</v>
      </c>
      <c r="AC3879">
        <f>[1]Source!X4719</f>
        <v>0</v>
      </c>
      <c r="AD3879">
        <f>ROUND(([1]Source!CA4719/100)*ROUND(([1]Source!AF4719*[1]Source!AV4719)*[1]Source!I4719, 2), 2)</f>
        <v>0</v>
      </c>
      <c r="AE3879">
        <f>[1]Source!Y4719</f>
        <v>0</v>
      </c>
      <c r="AF3879">
        <f>ROUND((175/100)*ROUND(([1]Source!AE4719*[1]Source!AV4719)*[1]Source!I4719, 2), 2)</f>
        <v>0</v>
      </c>
      <c r="AG3879">
        <f>ROUND((108/100)*ROUND([1]Source!CS4719*[1]Source!I4719, 2), 2)</f>
        <v>0</v>
      </c>
    </row>
    <row r="3880" spans="1:33" ht="15" x14ac:dyDescent="0.25">
      <c r="A3880" s="35"/>
      <c r="B3880" s="35"/>
      <c r="C3880" s="35"/>
      <c r="D3880" s="35"/>
      <c r="E3880" s="35"/>
      <c r="F3880" s="35"/>
      <c r="G3880" s="35"/>
      <c r="H3880" s="35"/>
      <c r="I3880" s="36">
        <f>J3878+SUM(J3879:J3879)</f>
        <v>50863.68</v>
      </c>
      <c r="J3880" s="36"/>
      <c r="K3880" s="37">
        <f>IF([1]Source!I4718&lt;&gt;0, ROUND(I3880/[1]Source!I4718, 2), 0)</f>
        <v>1695.46</v>
      </c>
      <c r="M3880"/>
      <c r="N3880"/>
      <c r="O3880"/>
      <c r="P3880"/>
      <c r="Q3880"/>
      <c r="AA3880" s="38">
        <f>I3880</f>
        <v>50863.68</v>
      </c>
    </row>
    <row r="3881" spans="1:33" ht="28.5" x14ac:dyDescent="0.2">
      <c r="A3881" s="31">
        <v>485</v>
      </c>
      <c r="B3881" s="31" t="str">
        <f>[1]Source!F4720</f>
        <v>5.4-1201-1-1/1</v>
      </c>
      <c r="C3881" s="31" t="str">
        <f>[1]Source!G4720</f>
        <v>Сбор случайного мусора по территории</v>
      </c>
      <c r="D3881" s="32" t="str">
        <f>[1]Source!H4720</f>
        <v>100 м2</v>
      </c>
      <c r="E3881" s="4">
        <f>[1]Source!I4720</f>
        <v>0.3</v>
      </c>
      <c r="F3881" s="33"/>
      <c r="G3881" s="34"/>
      <c r="H3881" s="4"/>
      <c r="I3881" s="4"/>
      <c r="J3881" s="33"/>
      <c r="K3881" s="33"/>
      <c r="M3881"/>
      <c r="N3881"/>
      <c r="O3881"/>
      <c r="P3881"/>
      <c r="Q3881"/>
      <c r="AB3881">
        <f>ROUND(([1]Source!BZ4720/100)*ROUND(([1]Source!AF4720*[1]Source!AV4720)*[1]Source!I4720, 2), 2)</f>
        <v>3458.11</v>
      </c>
      <c r="AC3881">
        <f>[1]Source!X4720</f>
        <v>3458.11</v>
      </c>
      <c r="AD3881">
        <f>ROUND(([1]Source!CA4720/100)*ROUND(([1]Source!AF4720*[1]Source!AV4720)*[1]Source!I4720, 2), 2)</f>
        <v>494.02</v>
      </c>
      <c r="AE3881">
        <f>[1]Source!Y4720</f>
        <v>494.02</v>
      </c>
      <c r="AF3881">
        <f>ROUND((175/100)*ROUND(([1]Source!AE4720*[1]Source!AV4720)*[1]Source!I4720, 2), 2)</f>
        <v>0</v>
      </c>
      <c r="AG3881">
        <f>ROUND((108/100)*ROUND([1]Source!CS4720*[1]Source!I4720, 2), 2)</f>
        <v>0</v>
      </c>
    </row>
    <row r="3882" spans="1:33" x14ac:dyDescent="0.2">
      <c r="C3882" s="40" t="str">
        <f>"Объем: "&amp;[1]Source!I4720&amp;"=30/"&amp;"100"</f>
        <v>Объем: 0,3=30/100</v>
      </c>
      <c r="M3882"/>
      <c r="N3882"/>
      <c r="O3882"/>
      <c r="P3882"/>
      <c r="Q3882"/>
    </row>
    <row r="3883" spans="1:33" ht="14.25" x14ac:dyDescent="0.2">
      <c r="A3883" s="31"/>
      <c r="B3883" s="31"/>
      <c r="C3883" s="31" t="s">
        <v>34</v>
      </c>
      <c r="D3883" s="32"/>
      <c r="E3883" s="4"/>
      <c r="F3883" s="33">
        <f>[1]Source!AO4720</f>
        <v>12.4</v>
      </c>
      <c r="G3883" s="34" t="str">
        <f>[1]Source!DG4720</f>
        <v>)*4*332</v>
      </c>
      <c r="H3883" s="4">
        <f>[1]Source!AV4720</f>
        <v>1</v>
      </c>
      <c r="I3883" s="4">
        <f>IF([1]Source!BA4720&lt;&gt; 0, [1]Source!BA4720, 1)</f>
        <v>1</v>
      </c>
      <c r="J3883" s="33">
        <f>[1]Source!S4720</f>
        <v>4940.16</v>
      </c>
      <c r="K3883" s="33"/>
      <c r="M3883"/>
      <c r="N3883"/>
      <c r="O3883"/>
      <c r="P3883"/>
      <c r="Q3883"/>
    </row>
    <row r="3884" spans="1:33" ht="14.25" x14ac:dyDescent="0.2">
      <c r="A3884" s="31"/>
      <c r="B3884" s="31"/>
      <c r="C3884" s="31" t="s">
        <v>47</v>
      </c>
      <c r="D3884" s="32"/>
      <c r="E3884" s="4"/>
      <c r="F3884" s="33">
        <f>[1]Source!AL4720</f>
        <v>0.69</v>
      </c>
      <c r="G3884" s="34" t="str">
        <f>[1]Source!DD4720</f>
        <v>)*4*332</v>
      </c>
      <c r="H3884" s="4">
        <f>[1]Source!AW4720</f>
        <v>1</v>
      </c>
      <c r="I3884" s="4">
        <f>IF([1]Source!BC4720&lt;&gt; 0, [1]Source!BC4720, 1)</f>
        <v>1</v>
      </c>
      <c r="J3884" s="33">
        <f>[1]Source!P4720</f>
        <v>274.89999999999998</v>
      </c>
      <c r="K3884" s="33"/>
      <c r="M3884"/>
      <c r="N3884"/>
      <c r="O3884"/>
      <c r="P3884"/>
      <c r="Q3884"/>
    </row>
    <row r="3885" spans="1:33" ht="14.25" x14ac:dyDescent="0.2">
      <c r="A3885" s="31"/>
      <c r="B3885" s="31"/>
      <c r="C3885" s="31" t="s">
        <v>40</v>
      </c>
      <c r="D3885" s="32" t="s">
        <v>39</v>
      </c>
      <c r="E3885" s="4">
        <f>[1]Source!AT4720</f>
        <v>70</v>
      </c>
      <c r="F3885" s="33"/>
      <c r="G3885" s="34"/>
      <c r="H3885" s="4"/>
      <c r="I3885" s="4"/>
      <c r="J3885" s="33">
        <f>SUM(AC3881:AC3884)</f>
        <v>3458.11</v>
      </c>
      <c r="K3885" s="33"/>
      <c r="M3885"/>
      <c r="N3885"/>
      <c r="O3885"/>
      <c r="P3885"/>
      <c r="Q3885"/>
    </row>
    <row r="3886" spans="1:33" ht="14.25" x14ac:dyDescent="0.2">
      <c r="A3886" s="31"/>
      <c r="B3886" s="31"/>
      <c r="C3886" s="31" t="s">
        <v>41</v>
      </c>
      <c r="D3886" s="32" t="s">
        <v>39</v>
      </c>
      <c r="E3886" s="4">
        <f>[1]Source!AU4720</f>
        <v>10</v>
      </c>
      <c r="F3886" s="33"/>
      <c r="G3886" s="34"/>
      <c r="H3886" s="4"/>
      <c r="I3886" s="4"/>
      <c r="J3886" s="33">
        <f>SUM(AE3881:AE3885)</f>
        <v>494.02</v>
      </c>
      <c r="K3886" s="33"/>
      <c r="M3886"/>
      <c r="N3886"/>
      <c r="O3886"/>
      <c r="P3886"/>
      <c r="Q3886"/>
    </row>
    <row r="3887" spans="1:33" ht="14.25" x14ac:dyDescent="0.2">
      <c r="A3887" s="31"/>
      <c r="B3887" s="31"/>
      <c r="C3887" s="31" t="s">
        <v>42</v>
      </c>
      <c r="D3887" s="32" t="s">
        <v>43</v>
      </c>
      <c r="E3887" s="4">
        <f>[1]Source!AQ4720</f>
        <v>0.05</v>
      </c>
      <c r="F3887" s="33"/>
      <c r="G3887" s="34" t="str">
        <f>[1]Source!DI4720</f>
        <v>)*4*332</v>
      </c>
      <c r="H3887" s="4">
        <f>[1]Source!AV4720</f>
        <v>1</v>
      </c>
      <c r="I3887" s="4"/>
      <c r="J3887" s="33"/>
      <c r="K3887" s="33">
        <f>[1]Source!U4720</f>
        <v>19.920000000000002</v>
      </c>
      <c r="M3887"/>
      <c r="N3887"/>
      <c r="O3887"/>
      <c r="P3887"/>
      <c r="Q3887"/>
    </row>
    <row r="3888" spans="1:33" ht="15" x14ac:dyDescent="0.25">
      <c r="A3888" s="35"/>
      <c r="B3888" s="35"/>
      <c r="C3888" s="35"/>
      <c r="D3888" s="35"/>
      <c r="E3888" s="35"/>
      <c r="F3888" s="35"/>
      <c r="G3888" s="35"/>
      <c r="H3888" s="35"/>
      <c r="I3888" s="36">
        <f>J3883+J3884+J3885+J3886</f>
        <v>9167.19</v>
      </c>
      <c r="J3888" s="36"/>
      <c r="K3888" s="37">
        <f>IF([1]Source!I4720&lt;&gt;0, ROUND(I3888/[1]Source!I4720, 2), 0)</f>
        <v>30557.3</v>
      </c>
      <c r="M3888"/>
      <c r="N3888"/>
      <c r="O3888"/>
      <c r="P3888"/>
      <c r="Q3888"/>
      <c r="AA3888" s="38">
        <f>I3888</f>
        <v>9167.19</v>
      </c>
    </row>
    <row r="3889" spans="1:33" x14ac:dyDescent="0.2">
      <c r="M3889"/>
      <c r="N3889"/>
      <c r="O3889"/>
      <c r="P3889"/>
      <c r="Q3889"/>
    </row>
    <row r="3890" spans="1:33" ht="15" x14ac:dyDescent="0.25">
      <c r="A3890" s="42" t="str">
        <f>CONCATENATE("Итого по подразделу: ",IF([1]Source!G4722&lt;&gt;"Новый подраздел", [1]Source!G4722, ""))</f>
        <v>Итого по подразделу: Уход за покрытием пандуса</v>
      </c>
      <c r="B3890" s="42"/>
      <c r="C3890" s="42"/>
      <c r="D3890" s="42"/>
      <c r="E3890" s="42"/>
      <c r="F3890" s="42"/>
      <c r="G3890" s="42"/>
      <c r="H3890" s="42"/>
      <c r="I3890" s="43">
        <f>SUM(AA3838:AA3889)</f>
        <v>149896.82999999999</v>
      </c>
      <c r="J3890" s="44"/>
      <c r="K3890" s="47"/>
      <c r="L3890" s="38">
        <f>I3890</f>
        <v>149896.82999999999</v>
      </c>
      <c r="M3890" s="2">
        <f>ROUND(I3890*$I$4874,2)</f>
        <v>108256.52</v>
      </c>
      <c r="N3890" s="2">
        <f>ROUND(M3890*1.2/105*100,2)</f>
        <v>123721.74</v>
      </c>
      <c r="O3890" s="2">
        <f>ROUND(N3890*0.05,2)</f>
        <v>6186.09</v>
      </c>
      <c r="P3890" s="2">
        <f>N3890+O3890</f>
        <v>129907.83</v>
      </c>
      <c r="Q3890" s="3">
        <v>4</v>
      </c>
      <c r="S3890" s="2">
        <v>24621.7</v>
      </c>
    </row>
    <row r="3891" spans="1:33" x14ac:dyDescent="0.2">
      <c r="M3891"/>
      <c r="N3891"/>
      <c r="O3891"/>
      <c r="P3891"/>
      <c r="Q3891"/>
    </row>
    <row r="3892" spans="1:33" x14ac:dyDescent="0.2">
      <c r="M3892"/>
      <c r="N3892"/>
      <c r="O3892"/>
      <c r="P3892"/>
      <c r="Q3892"/>
    </row>
    <row r="3893" spans="1:33" ht="16.5" x14ac:dyDescent="0.25">
      <c r="A3893" s="29" t="str">
        <f>CONCATENATE("Подраздел: ",IF([1]Source!G4752&lt;&gt;"Новый подраздел", [1]Source!G4752, ""))</f>
        <v>Подраздел: Уход за подпорными стенками</v>
      </c>
      <c r="B3893" s="29"/>
      <c r="C3893" s="29"/>
      <c r="D3893" s="29"/>
      <c r="E3893" s="29"/>
      <c r="F3893" s="29"/>
      <c r="G3893" s="29"/>
      <c r="H3893" s="29"/>
      <c r="I3893" s="29"/>
      <c r="J3893" s="29"/>
      <c r="K3893" s="29"/>
      <c r="M3893"/>
      <c r="N3893"/>
      <c r="O3893"/>
      <c r="P3893"/>
      <c r="Q3893"/>
    </row>
    <row r="3894" spans="1:33" ht="14.25" x14ac:dyDescent="0.2">
      <c r="A3894" s="31">
        <v>486</v>
      </c>
      <c r="B3894" s="31" t="str">
        <f>[1]Source!F4756</f>
        <v>калькуляция</v>
      </c>
      <c r="C3894" s="31" t="str">
        <f>[1]Source!G4756</f>
        <v>Очитка от снега подпорных стенок</v>
      </c>
      <c r="D3894" s="32" t="str">
        <f>[1]Source!H4756</f>
        <v>м2</v>
      </c>
      <c r="E3894" s="4">
        <f>[1]Source!I4756</f>
        <v>148</v>
      </c>
      <c r="F3894" s="33"/>
      <c r="G3894" s="34"/>
      <c r="H3894" s="4"/>
      <c r="I3894" s="4"/>
      <c r="J3894" s="33"/>
      <c r="K3894" s="33"/>
      <c r="M3894"/>
      <c r="N3894"/>
      <c r="O3894"/>
      <c r="P3894"/>
      <c r="Q3894"/>
      <c r="AB3894">
        <f>ROUND(([1]Source!BZ4756/100)*ROUND(([1]Source!AF4756*[1]Source!AV4756)*[1]Source!I4756, 2), 2)</f>
        <v>0</v>
      </c>
      <c r="AC3894">
        <f>[1]Source!X4756</f>
        <v>0</v>
      </c>
      <c r="AD3894">
        <f>ROUND(([1]Source!CA4756/100)*ROUND(([1]Source!AF4756*[1]Source!AV4756)*[1]Source!I4756, 2), 2)</f>
        <v>0</v>
      </c>
      <c r="AE3894">
        <f>[1]Source!Y4756</f>
        <v>0</v>
      </c>
      <c r="AF3894">
        <f>ROUND((175/100)*ROUND(([1]Source!AE4756*[1]Source!AV4756)*[1]Source!I4756, 2), 2)</f>
        <v>0</v>
      </c>
      <c r="AG3894">
        <f>ROUND((108/100)*ROUND([1]Source!CS4756*[1]Source!I4756, 2), 2)</f>
        <v>0</v>
      </c>
    </row>
    <row r="3895" spans="1:33" ht="14.25" x14ac:dyDescent="0.2">
      <c r="A3895" s="31"/>
      <c r="B3895" s="31"/>
      <c r="C3895" s="31" t="s">
        <v>34</v>
      </c>
      <c r="D3895" s="32"/>
      <c r="E3895" s="4"/>
      <c r="F3895" s="33">
        <f>[1]Source!AO4756</f>
        <v>3.45</v>
      </c>
      <c r="G3895" s="34" t="str">
        <f>[1]Source!DG4756</f>
        <v>)*1*10</v>
      </c>
      <c r="H3895" s="4">
        <f>[1]Source!AV4756</f>
        <v>1</v>
      </c>
      <c r="I3895" s="4">
        <f>IF([1]Source!BA4756&lt;&gt; 0, [1]Source!BA4756, 1)</f>
        <v>1</v>
      </c>
      <c r="J3895" s="33">
        <f>[1]Source!S4756</f>
        <v>5106</v>
      </c>
      <c r="K3895" s="33"/>
      <c r="M3895"/>
      <c r="N3895"/>
      <c r="O3895"/>
      <c r="P3895"/>
      <c r="Q3895"/>
    </row>
    <row r="3896" spans="1:33" ht="15" x14ac:dyDescent="0.25">
      <c r="A3896" s="35"/>
      <c r="B3896" s="35"/>
      <c r="C3896" s="35"/>
      <c r="D3896" s="35"/>
      <c r="E3896" s="35"/>
      <c r="F3896" s="35"/>
      <c r="G3896" s="35"/>
      <c r="H3896" s="35"/>
      <c r="I3896" s="36">
        <f>J3895</f>
        <v>5106</v>
      </c>
      <c r="J3896" s="36"/>
      <c r="K3896" s="37">
        <f>IF([1]Source!I4756&lt;&gt;0, ROUND(I3896/[1]Source!I4756, 2), 0)</f>
        <v>34.5</v>
      </c>
      <c r="M3896"/>
      <c r="N3896"/>
      <c r="O3896"/>
      <c r="P3896"/>
      <c r="Q3896"/>
      <c r="AA3896" s="38">
        <f>I3896</f>
        <v>5106</v>
      </c>
    </row>
    <row r="3897" spans="1:33" x14ac:dyDescent="0.2">
      <c r="M3897"/>
      <c r="N3897"/>
      <c r="O3897"/>
      <c r="P3897"/>
      <c r="Q3897"/>
    </row>
    <row r="3898" spans="1:33" ht="15" x14ac:dyDescent="0.25">
      <c r="A3898" s="42" t="str">
        <f>CONCATENATE("Итого по подразделу: ",IF([1]Source!G4758&lt;&gt;"Новый подраздел", [1]Source!G4758, ""))</f>
        <v>Итого по подразделу: Уход за подпорными стенками</v>
      </c>
      <c r="B3898" s="42"/>
      <c r="C3898" s="42"/>
      <c r="D3898" s="42"/>
      <c r="E3898" s="42"/>
      <c r="F3898" s="42"/>
      <c r="G3898" s="42"/>
      <c r="H3898" s="42"/>
      <c r="I3898" s="43">
        <f>SUM(AA3893:AA3897)</f>
        <v>5106</v>
      </c>
      <c r="J3898" s="44"/>
      <c r="K3898" s="47"/>
      <c r="L3898" s="38">
        <f>I3898</f>
        <v>5106</v>
      </c>
      <c r="M3898" s="2">
        <f>ROUND(I3898*$I$4874,2)</f>
        <v>3687.59</v>
      </c>
      <c r="N3898" s="2">
        <f>ROUND(M3898*1.2/105*100,2)</f>
        <v>4214.3900000000003</v>
      </c>
      <c r="O3898" s="2">
        <f>ROUND(N3898*0.05,2)</f>
        <v>210.72</v>
      </c>
      <c r="P3898" s="2">
        <f>N3898+O3898</f>
        <v>4425.1100000000006</v>
      </c>
      <c r="Q3898" s="3">
        <v>41</v>
      </c>
      <c r="S3898" s="2">
        <v>885.02</v>
      </c>
    </row>
    <row r="3899" spans="1:33" x14ac:dyDescent="0.2">
      <c r="M3899"/>
      <c r="N3899"/>
      <c r="O3899"/>
      <c r="P3899"/>
      <c r="Q3899"/>
    </row>
    <row r="3900" spans="1:33" x14ac:dyDescent="0.2">
      <c r="M3900"/>
      <c r="N3900"/>
      <c r="O3900"/>
      <c r="P3900"/>
      <c r="Q3900"/>
    </row>
    <row r="3901" spans="1:33" ht="16.5" x14ac:dyDescent="0.25">
      <c r="A3901" s="29" t="str">
        <f>CONCATENATE("Подраздел: ",IF([1]Source!G4788&lt;&gt;"Новый подраздел", [1]Source!G4788, ""))</f>
        <v>Подраздел: Уход за металлическим ограждением</v>
      </c>
      <c r="B3901" s="29"/>
      <c r="C3901" s="29"/>
      <c r="D3901" s="29"/>
      <c r="E3901" s="29"/>
      <c r="F3901" s="29"/>
      <c r="G3901" s="29"/>
      <c r="H3901" s="29"/>
      <c r="I3901" s="29"/>
      <c r="J3901" s="29"/>
      <c r="K3901" s="29"/>
      <c r="M3901"/>
      <c r="N3901"/>
      <c r="O3901"/>
      <c r="P3901"/>
      <c r="Q3901"/>
    </row>
    <row r="3902" spans="1:33" ht="14.25" x14ac:dyDescent="0.2">
      <c r="A3902" s="31">
        <v>487</v>
      </c>
      <c r="B3902" s="31" t="str">
        <f>[1]Source!F4792</f>
        <v>1.9-1102-1-1/1</v>
      </c>
      <c r="C3902" s="31" t="str">
        <f>[1]Source!G4792</f>
        <v>Очистка от снега перил и поручней</v>
      </c>
      <c r="D3902" s="32" t="str">
        <f>[1]Source!H4792</f>
        <v>100 м</v>
      </c>
      <c r="E3902" s="4">
        <f>[1]Source!I4792</f>
        <v>2.16</v>
      </c>
      <c r="F3902" s="33"/>
      <c r="G3902" s="34"/>
      <c r="H3902" s="4"/>
      <c r="I3902" s="4"/>
      <c r="J3902" s="33"/>
      <c r="K3902" s="33"/>
      <c r="M3902"/>
      <c r="N3902"/>
      <c r="O3902"/>
      <c r="P3902"/>
      <c r="Q3902"/>
      <c r="AB3902">
        <f>ROUND(([1]Source!BZ4792/100)*ROUND(([1]Source!AF4792*[1]Source!AV4792)*[1]Source!I4792, 2), 2)</f>
        <v>37787.42</v>
      </c>
      <c r="AC3902">
        <f>[1]Source!X4792</f>
        <v>37787.42</v>
      </c>
      <c r="AD3902">
        <f>ROUND(([1]Source!CA4792/100)*ROUND(([1]Source!AF4792*[1]Source!AV4792)*[1]Source!I4792, 2), 2)</f>
        <v>5398.2</v>
      </c>
      <c r="AE3902">
        <f>[1]Source!Y4792</f>
        <v>5398.2</v>
      </c>
      <c r="AF3902">
        <f>ROUND((175/100)*ROUND(([1]Source!AE4792*[1]Source!AV4792)*[1]Source!I4792, 2), 2)</f>
        <v>0</v>
      </c>
      <c r="AG3902">
        <f>ROUND((108/100)*ROUND([1]Source!CS4792*[1]Source!I4792, 2), 2)</f>
        <v>0</v>
      </c>
    </row>
    <row r="3903" spans="1:33" x14ac:dyDescent="0.2">
      <c r="C3903" s="40" t="str">
        <f>"Объем: "&amp;[1]Source!I4792&amp;"=216/"&amp;"100"</f>
        <v>Объем: 2,16=216/100</v>
      </c>
      <c r="M3903"/>
      <c r="N3903"/>
      <c r="O3903"/>
      <c r="P3903"/>
      <c r="Q3903"/>
    </row>
    <row r="3904" spans="1:33" ht="14.25" x14ac:dyDescent="0.2">
      <c r="A3904" s="31"/>
      <c r="B3904" s="31"/>
      <c r="C3904" s="31" t="s">
        <v>34</v>
      </c>
      <c r="D3904" s="32"/>
      <c r="E3904" s="4"/>
      <c r="F3904" s="33">
        <f>[1]Source!AO4792</f>
        <v>148.76</v>
      </c>
      <c r="G3904" s="34" t="str">
        <f>[1]Source!DG4792</f>
        <v>)*1*168</v>
      </c>
      <c r="H3904" s="4">
        <f>[1]Source!AV4792</f>
        <v>1</v>
      </c>
      <c r="I3904" s="4">
        <f>IF([1]Source!BA4792&lt;&gt; 0, [1]Source!BA4792, 1)</f>
        <v>1</v>
      </c>
      <c r="J3904" s="33">
        <f>[1]Source!S4792</f>
        <v>53982.03</v>
      </c>
      <c r="K3904" s="33"/>
      <c r="M3904"/>
      <c r="N3904"/>
      <c r="O3904"/>
      <c r="P3904"/>
      <c r="Q3904"/>
    </row>
    <row r="3905" spans="1:33" ht="14.25" x14ac:dyDescent="0.2">
      <c r="A3905" s="31"/>
      <c r="B3905" s="31"/>
      <c r="C3905" s="31" t="s">
        <v>40</v>
      </c>
      <c r="D3905" s="32" t="s">
        <v>39</v>
      </c>
      <c r="E3905" s="4">
        <f>[1]Source!AT4792</f>
        <v>70</v>
      </c>
      <c r="F3905" s="33"/>
      <c r="G3905" s="34"/>
      <c r="H3905" s="4"/>
      <c r="I3905" s="4"/>
      <c r="J3905" s="33">
        <f>SUM(AC3902:AC3904)</f>
        <v>37787.42</v>
      </c>
      <c r="K3905" s="33"/>
      <c r="M3905"/>
      <c r="N3905"/>
      <c r="O3905"/>
      <c r="P3905"/>
      <c r="Q3905"/>
    </row>
    <row r="3906" spans="1:33" ht="14.25" x14ac:dyDescent="0.2">
      <c r="A3906" s="31"/>
      <c r="B3906" s="31"/>
      <c r="C3906" s="31" t="s">
        <v>41</v>
      </c>
      <c r="D3906" s="32" t="s">
        <v>39</v>
      </c>
      <c r="E3906" s="4">
        <f>[1]Source!AU4792</f>
        <v>10</v>
      </c>
      <c r="F3906" s="33"/>
      <c r="G3906" s="34"/>
      <c r="H3906" s="4"/>
      <c r="I3906" s="4"/>
      <c r="J3906" s="33">
        <f>SUM(AE3902:AE3905)</f>
        <v>5398.2</v>
      </c>
      <c r="K3906" s="33"/>
      <c r="M3906"/>
      <c r="N3906"/>
      <c r="O3906"/>
      <c r="P3906"/>
      <c r="Q3906"/>
    </row>
    <row r="3907" spans="1:33" ht="14.25" x14ac:dyDescent="0.2">
      <c r="A3907" s="31"/>
      <c r="B3907" s="31"/>
      <c r="C3907" s="31" t="s">
        <v>42</v>
      </c>
      <c r="D3907" s="32" t="s">
        <v>43</v>
      </c>
      <c r="E3907" s="4">
        <f>[1]Source!AQ4792</f>
        <v>0.6</v>
      </c>
      <c r="F3907" s="33"/>
      <c r="G3907" s="34" t="str">
        <f>[1]Source!DI4792</f>
        <v>)*1*168</v>
      </c>
      <c r="H3907" s="4">
        <f>[1]Source!AV4792</f>
        <v>1</v>
      </c>
      <c r="I3907" s="4"/>
      <c r="J3907" s="33"/>
      <c r="K3907" s="33">
        <f>[1]Source!U4792</f>
        <v>217.72800000000001</v>
      </c>
      <c r="M3907"/>
      <c r="N3907"/>
      <c r="O3907"/>
      <c r="P3907"/>
      <c r="Q3907"/>
    </row>
    <row r="3908" spans="1:33" ht="15" x14ac:dyDescent="0.25">
      <c r="A3908" s="35"/>
      <c r="B3908" s="35"/>
      <c r="C3908" s="35"/>
      <c r="D3908" s="35"/>
      <c r="E3908" s="35"/>
      <c r="F3908" s="35"/>
      <c r="G3908" s="35"/>
      <c r="H3908" s="35"/>
      <c r="I3908" s="36">
        <f>J3904+J3905+J3906</f>
        <v>97167.65</v>
      </c>
      <c r="J3908" s="36"/>
      <c r="K3908" s="37">
        <f>IF([1]Source!I4792&lt;&gt;0, ROUND(I3908/[1]Source!I4792, 2), 0)</f>
        <v>44985.02</v>
      </c>
      <c r="M3908"/>
      <c r="N3908"/>
      <c r="O3908"/>
      <c r="P3908"/>
      <c r="Q3908"/>
      <c r="AA3908" s="38">
        <f>I3908</f>
        <v>97167.65</v>
      </c>
    </row>
    <row r="3909" spans="1:33" x14ac:dyDescent="0.2">
      <c r="M3909"/>
      <c r="N3909"/>
      <c r="O3909"/>
      <c r="P3909"/>
      <c r="Q3909"/>
    </row>
    <row r="3910" spans="1:33" ht="15" x14ac:dyDescent="0.25">
      <c r="A3910" s="49" t="str">
        <f>CONCATENATE("Итого по подразделу: ",IF([1]Source!G4794&lt;&gt;"Новый подраздел", [1]Source!G4794, ""))</f>
        <v>Итого по подразделу: Уход за металлическим ограждением</v>
      </c>
      <c r="B3910" s="49"/>
      <c r="C3910" s="49"/>
      <c r="D3910" s="49"/>
      <c r="E3910" s="49"/>
      <c r="F3910" s="49"/>
      <c r="G3910" s="49"/>
      <c r="H3910" s="49"/>
      <c r="I3910" s="50">
        <f>SUM(AA3901:AA3909)</f>
        <v>97167.65</v>
      </c>
      <c r="J3910" s="51"/>
      <c r="K3910" s="52"/>
      <c r="L3910" s="38">
        <f>I3910</f>
        <v>97167.65</v>
      </c>
      <c r="M3910" s="2">
        <f>ROUND(I3910*$I$4874,2)</f>
        <v>70175.14</v>
      </c>
      <c r="N3910" s="2">
        <f>ROUND(M3910*1.2/105*100,2)</f>
        <v>80200.160000000003</v>
      </c>
      <c r="O3910" s="2">
        <f>ROUND(N3910*0.05,2)</f>
        <v>4010.01</v>
      </c>
      <c r="P3910" s="53">
        <f>N3910+O3910</f>
        <v>84210.17</v>
      </c>
      <c r="Q3910" s="3">
        <v>47</v>
      </c>
      <c r="S3910" s="2">
        <v>15538.78</v>
      </c>
    </row>
    <row r="3911" spans="1:33" x14ac:dyDescent="0.2">
      <c r="M3911"/>
      <c r="N3911"/>
      <c r="O3911"/>
      <c r="P3911"/>
      <c r="Q3911"/>
    </row>
    <row r="3912" spans="1:33" x14ac:dyDescent="0.2">
      <c r="M3912"/>
      <c r="N3912"/>
      <c r="O3912"/>
      <c r="P3912"/>
      <c r="Q3912"/>
    </row>
    <row r="3913" spans="1:33" ht="15" x14ac:dyDescent="0.25">
      <c r="A3913" s="42" t="str">
        <f>CONCATENATE("Итого по разделу: ",IF([1]Source!G4824&lt;&gt;"Новый раздел", [1]Source!G4824, ""))</f>
        <v>Итого по разделу: ул. Варварка</v>
      </c>
      <c r="B3913" s="42"/>
      <c r="C3913" s="42"/>
      <c r="D3913" s="42"/>
      <c r="E3913" s="42"/>
      <c r="F3913" s="42"/>
      <c r="G3913" s="42"/>
      <c r="H3913" s="42"/>
      <c r="I3913" s="43">
        <f>SUM(AA3739:AA3912)</f>
        <v>7621085.0600000005</v>
      </c>
      <c r="J3913" s="44"/>
      <c r="K3913" s="47"/>
      <c r="L3913" s="38">
        <f>I3913</f>
        <v>7621085.0600000005</v>
      </c>
      <c r="M3913" s="2">
        <f>M3820+M3835+M3890+M3898+M3910</f>
        <v>5503999.8199999994</v>
      </c>
      <c r="N3913" s="2">
        <f>N3820+N3835+N3890+N3898+N3910</f>
        <v>6290285.5199999996</v>
      </c>
      <c r="O3913" s="2">
        <f>ROUND(N3913*0.05,2)</f>
        <v>314514.28000000003</v>
      </c>
      <c r="P3913" s="2">
        <f>SUM(P3820:P3910)</f>
        <v>6604799.7999999998</v>
      </c>
      <c r="Q3913" s="48"/>
      <c r="R3913">
        <v>2</v>
      </c>
    </row>
    <row r="3914" spans="1:33" x14ac:dyDescent="0.2">
      <c r="M3914"/>
      <c r="N3914"/>
      <c r="O3914"/>
      <c r="P3914"/>
      <c r="Q3914"/>
    </row>
    <row r="3915" spans="1:33" x14ac:dyDescent="0.2">
      <c r="M3915"/>
      <c r="N3915"/>
      <c r="O3915"/>
      <c r="P3915"/>
      <c r="Q3915"/>
    </row>
    <row r="3916" spans="1:33" ht="16.5" x14ac:dyDescent="0.25">
      <c r="A3916" s="29" t="str">
        <f>CONCATENATE("Раздел: ",IF([1]Source!G4854&lt;&gt;"Новый раздел", [1]Source!G4854, ""))</f>
        <v>Раздел: Содержание твердых покрытий Москворецкой набережной</v>
      </c>
      <c r="B3916" s="29"/>
      <c r="C3916" s="29"/>
      <c r="D3916" s="29"/>
      <c r="E3916" s="29"/>
      <c r="F3916" s="29"/>
      <c r="G3916" s="29"/>
      <c r="H3916" s="29"/>
      <c r="I3916" s="29"/>
      <c r="J3916" s="29"/>
      <c r="K3916" s="29"/>
      <c r="M3916"/>
      <c r="N3916"/>
      <c r="O3916"/>
      <c r="P3916"/>
      <c r="Q3916"/>
    </row>
    <row r="3917" spans="1:33" x14ac:dyDescent="0.2">
      <c r="M3917"/>
      <c r="N3917"/>
      <c r="O3917"/>
      <c r="P3917"/>
      <c r="Q3917"/>
    </row>
    <row r="3918" spans="1:33" ht="16.5" x14ac:dyDescent="0.25">
      <c r="A3918" s="29" t="str">
        <f>CONCATENATE("Подраздел: ",IF([1]Source!G4858&lt;&gt;"Новый подраздел", [1]Source!G4858, ""))</f>
        <v>Подраздел: Уход за бортовыми камнями</v>
      </c>
      <c r="B3918" s="29"/>
      <c r="C3918" s="29"/>
      <c r="D3918" s="29"/>
      <c r="E3918" s="29"/>
      <c r="F3918" s="29"/>
      <c r="G3918" s="29"/>
      <c r="H3918" s="29"/>
      <c r="I3918" s="29"/>
      <c r="J3918" s="29"/>
      <c r="K3918" s="29"/>
      <c r="M3918"/>
      <c r="N3918"/>
      <c r="O3918"/>
      <c r="P3918"/>
      <c r="Q3918"/>
    </row>
    <row r="3919" spans="1:33" ht="28.5" x14ac:dyDescent="0.2">
      <c r="A3919" s="31">
        <v>488</v>
      </c>
      <c r="B3919" s="31" t="str">
        <f>[1]Source!F4862</f>
        <v>калькуляция</v>
      </c>
      <c r="C3919" s="31" t="str">
        <f>[1]Source!G4862</f>
        <v>Уход за бортовыми камнями(  подметание вручную)</v>
      </c>
      <c r="D3919" s="32" t="str">
        <f>[1]Source!H4862</f>
        <v>м2</v>
      </c>
      <c r="E3919" s="4">
        <f>[1]Source!I4862</f>
        <v>185.51</v>
      </c>
      <c r="F3919" s="33"/>
      <c r="G3919" s="34"/>
      <c r="H3919" s="4"/>
      <c r="I3919" s="4"/>
      <c r="J3919" s="33"/>
      <c r="K3919" s="33"/>
      <c r="M3919"/>
      <c r="N3919"/>
      <c r="O3919"/>
      <c r="P3919"/>
      <c r="Q3919"/>
      <c r="AB3919">
        <f>ROUND(([1]Source!BZ4862/100)*ROUND(([1]Source!AF4862*[1]Source!AV4862)*[1]Source!I4862, 2), 2)</f>
        <v>0</v>
      </c>
      <c r="AC3919">
        <f>[1]Source!X4862</f>
        <v>0</v>
      </c>
      <c r="AD3919">
        <f>ROUND(([1]Source!CA4862/100)*ROUND(([1]Source!AF4862*[1]Source!AV4862)*[1]Source!I4862, 2), 2)</f>
        <v>0</v>
      </c>
      <c r="AE3919">
        <f>[1]Source!Y4862</f>
        <v>0</v>
      </c>
      <c r="AF3919">
        <f>ROUND((175/100)*ROUND(([1]Source!AE4862*[1]Source!AV4862)*[1]Source!I4862, 2), 2)</f>
        <v>0</v>
      </c>
      <c r="AG3919">
        <f>ROUND((108/100)*ROUND([1]Source!CS4862*[1]Source!I4862, 2), 2)</f>
        <v>0</v>
      </c>
    </row>
    <row r="3920" spans="1:33" ht="14.25" x14ac:dyDescent="0.2">
      <c r="A3920" s="31"/>
      <c r="B3920" s="31"/>
      <c r="C3920" s="31" t="s">
        <v>34</v>
      </c>
      <c r="D3920" s="32"/>
      <c r="E3920" s="4"/>
      <c r="F3920" s="33">
        <f>[1]Source!AO4862</f>
        <v>1.24</v>
      </c>
      <c r="G3920" s="34" t="str">
        <f>[1]Source!DG4862</f>
        <v>)*1*164</v>
      </c>
      <c r="H3920" s="4">
        <f>[1]Source!AV4862</f>
        <v>1</v>
      </c>
      <c r="I3920" s="4">
        <f>IF([1]Source!BA4862&lt;&gt; 0, [1]Source!BA4862, 1)</f>
        <v>1</v>
      </c>
      <c r="J3920" s="33">
        <f>[1]Source!S4862</f>
        <v>37725.31</v>
      </c>
      <c r="K3920" s="33"/>
      <c r="M3920"/>
      <c r="N3920"/>
      <c r="O3920"/>
      <c r="P3920"/>
      <c r="Q3920"/>
    </row>
    <row r="3921" spans="1:33" ht="15" x14ac:dyDescent="0.25">
      <c r="A3921" s="35"/>
      <c r="B3921" s="35"/>
      <c r="C3921" s="35"/>
      <c r="D3921" s="35"/>
      <c r="E3921" s="35"/>
      <c r="F3921" s="35"/>
      <c r="G3921" s="35"/>
      <c r="H3921" s="35"/>
      <c r="I3921" s="36">
        <f>J3920</f>
        <v>37725.31</v>
      </c>
      <c r="J3921" s="36"/>
      <c r="K3921" s="37">
        <f>IF([1]Source!I4862&lt;&gt;0, ROUND(I3921/[1]Source!I4862, 2), 0)</f>
        <v>203.36</v>
      </c>
      <c r="M3921"/>
      <c r="N3921"/>
      <c r="O3921"/>
      <c r="P3921"/>
      <c r="Q3921"/>
      <c r="AA3921" s="38">
        <f>I3921</f>
        <v>37725.31</v>
      </c>
    </row>
    <row r="3922" spans="1:33" ht="28.5" x14ac:dyDescent="0.2">
      <c r="A3922" s="31">
        <v>489</v>
      </c>
      <c r="B3922" s="31" t="str">
        <f>[1]Source!F4863</f>
        <v>5.3-1102-8-1/1</v>
      </c>
      <c r="C3922" s="31" t="str">
        <f>[1]Source!G4863</f>
        <v>Уборка свежевыпавшего снега вручную толщиной слоя до 10 см</v>
      </c>
      <c r="D3922" s="32" t="str">
        <f>[1]Source!H4863</f>
        <v>100 м2</v>
      </c>
      <c r="E3922" s="4">
        <f>[1]Source!I4863</f>
        <v>1.8551</v>
      </c>
      <c r="F3922" s="33"/>
      <c r="G3922" s="34"/>
      <c r="H3922" s="4"/>
      <c r="I3922" s="4"/>
      <c r="J3922" s="33"/>
      <c r="K3922" s="33"/>
      <c r="M3922"/>
      <c r="N3922"/>
      <c r="O3922"/>
      <c r="P3922"/>
      <c r="Q3922"/>
      <c r="AB3922">
        <f>ROUND(([1]Source!BZ4863/100)*ROUND(([1]Source!AF4863*[1]Source!AV4863)*[1]Source!I4863, 2), 2)</f>
        <v>140625.78</v>
      </c>
      <c r="AC3922">
        <f>[1]Source!X4863</f>
        <v>140625.78</v>
      </c>
      <c r="AD3922">
        <f>ROUND(([1]Source!CA4863/100)*ROUND(([1]Source!AF4863*[1]Source!AV4863)*[1]Source!I4863, 2), 2)</f>
        <v>20089.400000000001</v>
      </c>
      <c r="AE3922">
        <f>[1]Source!Y4863</f>
        <v>20089.400000000001</v>
      </c>
      <c r="AF3922">
        <f>ROUND((175/100)*ROUND(([1]Source!AE4863*[1]Source!AV4863)*[1]Source!I4863, 2), 2)</f>
        <v>0</v>
      </c>
      <c r="AG3922">
        <f>ROUND((108/100)*ROUND([1]Source!CS4863*[1]Source!I4863, 2), 2)</f>
        <v>0</v>
      </c>
    </row>
    <row r="3923" spans="1:33" x14ac:dyDescent="0.2">
      <c r="C3923" s="40" t="str">
        <f>"Объем: "&amp;[1]Source!I4863&amp;"=185,51/"&amp;"100"</f>
        <v>Объем: 1,8551=185,51/100</v>
      </c>
      <c r="M3923"/>
      <c r="N3923"/>
      <c r="O3923"/>
      <c r="P3923"/>
      <c r="Q3923"/>
    </row>
    <row r="3924" spans="1:33" ht="14.25" x14ac:dyDescent="0.2">
      <c r="A3924" s="31"/>
      <c r="B3924" s="31"/>
      <c r="C3924" s="31" t="s">
        <v>34</v>
      </c>
      <c r="D3924" s="32"/>
      <c r="E3924" s="4"/>
      <c r="F3924" s="33">
        <f>[1]Source!AO4863</f>
        <v>161.15</v>
      </c>
      <c r="G3924" s="34" t="str">
        <f>[1]Source!DG4863</f>
        <v>)*4*168</v>
      </c>
      <c r="H3924" s="4">
        <f>[1]Source!AV4863</f>
        <v>1</v>
      </c>
      <c r="I3924" s="4">
        <f>IF([1]Source!BA4863&lt;&gt; 0, [1]Source!BA4863, 1)</f>
        <v>1</v>
      </c>
      <c r="J3924" s="33">
        <f>[1]Source!S4863</f>
        <v>200893.97</v>
      </c>
      <c r="K3924" s="33"/>
      <c r="M3924"/>
      <c r="N3924"/>
      <c r="O3924"/>
      <c r="P3924"/>
      <c r="Q3924"/>
    </row>
    <row r="3925" spans="1:33" ht="14.25" x14ac:dyDescent="0.2">
      <c r="A3925" s="31"/>
      <c r="B3925" s="31"/>
      <c r="C3925" s="31" t="s">
        <v>40</v>
      </c>
      <c r="D3925" s="32" t="s">
        <v>39</v>
      </c>
      <c r="E3925" s="4">
        <f>[1]Source!AT4863</f>
        <v>70</v>
      </c>
      <c r="F3925" s="33"/>
      <c r="G3925" s="34"/>
      <c r="H3925" s="4"/>
      <c r="I3925" s="4"/>
      <c r="J3925" s="33">
        <f>SUM(AC3922:AC3924)</f>
        <v>140625.78</v>
      </c>
      <c r="K3925" s="33"/>
      <c r="M3925"/>
      <c r="N3925"/>
      <c r="O3925"/>
      <c r="P3925"/>
      <c r="Q3925"/>
    </row>
    <row r="3926" spans="1:33" ht="14.25" x14ac:dyDescent="0.2">
      <c r="A3926" s="31"/>
      <c r="B3926" s="31"/>
      <c r="C3926" s="31" t="s">
        <v>41</v>
      </c>
      <c r="D3926" s="32" t="s">
        <v>39</v>
      </c>
      <c r="E3926" s="4">
        <f>[1]Source!AU4863</f>
        <v>10</v>
      </c>
      <c r="F3926" s="33"/>
      <c r="G3926" s="34"/>
      <c r="H3926" s="4"/>
      <c r="I3926" s="4"/>
      <c r="J3926" s="33">
        <f>SUM(AE3922:AE3925)</f>
        <v>20089.400000000001</v>
      </c>
      <c r="K3926" s="33"/>
      <c r="M3926"/>
      <c r="N3926"/>
      <c r="O3926"/>
      <c r="P3926"/>
      <c r="Q3926"/>
    </row>
    <row r="3927" spans="1:33" ht="14.25" x14ac:dyDescent="0.2">
      <c r="A3927" s="31"/>
      <c r="B3927" s="31"/>
      <c r="C3927" s="31" t="s">
        <v>42</v>
      </c>
      <c r="D3927" s="32" t="s">
        <v>43</v>
      </c>
      <c r="E3927" s="4">
        <f>[1]Source!AQ4863</f>
        <v>0.65</v>
      </c>
      <c r="F3927" s="33"/>
      <c r="G3927" s="34" t="str">
        <f>[1]Source!DI4863</f>
        <v>)*4*168</v>
      </c>
      <c r="H3927" s="4">
        <f>[1]Source!AV4863</f>
        <v>1</v>
      </c>
      <c r="I3927" s="4"/>
      <c r="J3927" s="33"/>
      <c r="K3927" s="33">
        <f>[1]Source!U4863</f>
        <v>810.30768</v>
      </c>
      <c r="M3927"/>
      <c r="N3927"/>
      <c r="O3927"/>
      <c r="P3927"/>
      <c r="Q3927"/>
    </row>
    <row r="3928" spans="1:33" ht="15" x14ac:dyDescent="0.25">
      <c r="A3928" s="35"/>
      <c r="B3928" s="35"/>
      <c r="C3928" s="35"/>
      <c r="D3928" s="35"/>
      <c r="E3928" s="35"/>
      <c r="F3928" s="35"/>
      <c r="G3928" s="35"/>
      <c r="H3928" s="35"/>
      <c r="I3928" s="36">
        <f>J3924+J3925+J3926</f>
        <v>361609.15</v>
      </c>
      <c r="J3928" s="36"/>
      <c r="K3928" s="37">
        <f>IF([1]Source!I4863&lt;&gt;0, ROUND(I3928/[1]Source!I4863, 2), 0)</f>
        <v>194927.04</v>
      </c>
      <c r="M3928"/>
      <c r="N3928"/>
      <c r="O3928"/>
      <c r="P3928"/>
      <c r="Q3928"/>
      <c r="AA3928" s="38">
        <f>I3928</f>
        <v>361609.15</v>
      </c>
    </row>
    <row r="3929" spans="1:33" x14ac:dyDescent="0.2">
      <c r="M3929"/>
      <c r="N3929"/>
      <c r="O3929"/>
      <c r="P3929"/>
      <c r="Q3929"/>
    </row>
    <row r="3930" spans="1:33" ht="15" x14ac:dyDescent="0.25">
      <c r="A3930" s="42" t="str">
        <f>CONCATENATE("Итого по подразделу: ",IF([1]Source!G4865&lt;&gt;"Новый подраздел", [1]Source!G4865, ""))</f>
        <v>Итого по подразделу: Уход за бортовыми камнями</v>
      </c>
      <c r="B3930" s="42"/>
      <c r="C3930" s="42"/>
      <c r="D3930" s="42"/>
      <c r="E3930" s="42"/>
      <c r="F3930" s="42"/>
      <c r="G3930" s="42"/>
      <c r="H3930" s="42"/>
      <c r="I3930" s="43">
        <f>SUM(AA3918:AA3929)</f>
        <v>399334.46</v>
      </c>
      <c r="J3930" s="44"/>
      <c r="K3930" s="47"/>
      <c r="L3930" s="38">
        <f>I3930</f>
        <v>399334.46</v>
      </c>
      <c r="M3930" s="2">
        <f>ROUND(I3930*$I$4874,2)</f>
        <v>288402.08</v>
      </c>
      <c r="N3930" s="2">
        <f>ROUND(M3930*1.2/105*100,2)</f>
        <v>329602.38</v>
      </c>
      <c r="O3930" s="2">
        <f>ROUND(N3930*0.05,2)</f>
        <v>16480.12</v>
      </c>
      <c r="P3930" s="2">
        <f>N3930+O3930</f>
        <v>346082.5</v>
      </c>
      <c r="Q3930" s="3">
        <v>5</v>
      </c>
      <c r="S3930" s="2">
        <v>63808.25</v>
      </c>
    </row>
    <row r="3931" spans="1:33" x14ac:dyDescent="0.2">
      <c r="M3931"/>
      <c r="N3931"/>
      <c r="O3931"/>
      <c r="P3931"/>
      <c r="Q3931"/>
    </row>
    <row r="3932" spans="1:33" x14ac:dyDescent="0.2">
      <c r="M3932"/>
      <c r="N3932"/>
      <c r="O3932"/>
      <c r="P3932"/>
      <c r="Q3932"/>
    </row>
    <row r="3933" spans="1:33" ht="16.5" x14ac:dyDescent="0.25">
      <c r="A3933" s="29" t="str">
        <f>CONCATENATE("Подраздел: ",IF([1]Source!G4895&lt;&gt;"Новый подраздел", [1]Source!G4895, ""))</f>
        <v>Подраздел: Уход за покрытием пандуса</v>
      </c>
      <c r="B3933" s="29"/>
      <c r="C3933" s="29"/>
      <c r="D3933" s="29"/>
      <c r="E3933" s="29"/>
      <c r="F3933" s="29"/>
      <c r="G3933" s="29"/>
      <c r="H3933" s="29"/>
      <c r="I3933" s="29"/>
      <c r="J3933" s="29"/>
      <c r="K3933" s="29"/>
      <c r="M3933"/>
      <c r="N3933"/>
      <c r="O3933"/>
      <c r="P3933"/>
      <c r="Q3933"/>
    </row>
    <row r="3934" spans="1:33" ht="28.5" x14ac:dyDescent="0.2">
      <c r="A3934" s="31">
        <v>490</v>
      </c>
      <c r="B3934" s="31" t="str">
        <f>[1]Source!F4899</f>
        <v>калькуляция</v>
      </c>
      <c r="C3934" s="31" t="str">
        <f>[1]Source!G4899</f>
        <v>Подметание дорожек  вручную ( S=31,34м2)</v>
      </c>
      <c r="D3934" s="32" t="str">
        <f>[1]Source!H4899</f>
        <v>м2</v>
      </c>
      <c r="E3934" s="4">
        <f>[1]Source!I4899</f>
        <v>31.34</v>
      </c>
      <c r="F3934" s="33"/>
      <c r="G3934" s="34"/>
      <c r="H3934" s="4"/>
      <c r="I3934" s="4"/>
      <c r="J3934" s="33"/>
      <c r="K3934" s="33"/>
      <c r="M3934"/>
      <c r="N3934"/>
      <c r="O3934"/>
      <c r="P3934"/>
      <c r="Q3934"/>
      <c r="AB3934">
        <f>ROUND(([1]Source!BZ4899/100)*ROUND(([1]Source!AF4899*[1]Source!AV4899)*[1]Source!I4899, 2), 2)</f>
        <v>0</v>
      </c>
      <c r="AC3934">
        <f>[1]Source!X4899</f>
        <v>0</v>
      </c>
      <c r="AD3934">
        <f>ROUND(([1]Source!CA4899/100)*ROUND(([1]Source!AF4899*[1]Source!AV4899)*[1]Source!I4899, 2), 2)</f>
        <v>0</v>
      </c>
      <c r="AE3934">
        <f>[1]Source!Y4899</f>
        <v>0</v>
      </c>
      <c r="AF3934">
        <f>ROUND((175/100)*ROUND(([1]Source!AE4899*[1]Source!AV4899)*[1]Source!I4899, 2), 2)</f>
        <v>0</v>
      </c>
      <c r="AG3934">
        <f>ROUND((108/100)*ROUND([1]Source!CS4899*[1]Source!I4899, 2), 2)</f>
        <v>0</v>
      </c>
    </row>
    <row r="3935" spans="1:33" ht="14.25" x14ac:dyDescent="0.2">
      <c r="A3935" s="31"/>
      <c r="B3935" s="31"/>
      <c r="C3935" s="31" t="s">
        <v>34</v>
      </c>
      <c r="D3935" s="32"/>
      <c r="E3935" s="4"/>
      <c r="F3935" s="33">
        <f>[1]Source!AO4899</f>
        <v>1.32</v>
      </c>
      <c r="G3935" s="34" t="str">
        <f>[1]Source!DG4899</f>
        <v>)*4*164</v>
      </c>
      <c r="H3935" s="4">
        <f>[1]Source!AV4899</f>
        <v>1</v>
      </c>
      <c r="I3935" s="4">
        <f>IF([1]Source!BA4899&lt;&gt; 0, [1]Source!BA4899, 1)</f>
        <v>1</v>
      </c>
      <c r="J3935" s="33">
        <f>[1]Source!S4899</f>
        <v>27137.93</v>
      </c>
      <c r="K3935" s="33"/>
      <c r="M3935"/>
      <c r="N3935"/>
      <c r="O3935"/>
      <c r="P3935"/>
      <c r="Q3935"/>
    </row>
    <row r="3936" spans="1:33" ht="15" x14ac:dyDescent="0.25">
      <c r="A3936" s="35"/>
      <c r="B3936" s="35"/>
      <c r="C3936" s="35"/>
      <c r="D3936" s="35"/>
      <c r="E3936" s="35"/>
      <c r="F3936" s="35"/>
      <c r="G3936" s="35"/>
      <c r="H3936" s="35"/>
      <c r="I3936" s="36">
        <f>J3935</f>
        <v>27137.93</v>
      </c>
      <c r="J3936" s="36"/>
      <c r="K3936" s="37">
        <f>IF([1]Source!I4899&lt;&gt;0, ROUND(I3936/[1]Source!I4899, 2), 0)</f>
        <v>865.92</v>
      </c>
      <c r="M3936"/>
      <c r="N3936"/>
      <c r="O3936"/>
      <c r="P3936"/>
      <c r="Q3936"/>
      <c r="AA3936" s="38">
        <f>I3936</f>
        <v>27137.93</v>
      </c>
    </row>
    <row r="3937" spans="1:33" ht="42.75" x14ac:dyDescent="0.2">
      <c r="A3937" s="31">
        <v>491</v>
      </c>
      <c r="B3937" s="31" t="str">
        <f>[1]Source!F4900</f>
        <v>5.3-1102-8-1/1</v>
      </c>
      <c r="C3937" s="31" t="str">
        <f>[1]Source!G4900</f>
        <v>Уборка свежевыпавшего снега вручную толщиной слоя до 10 см ( S=31,34 м2*0,7*0,5=10,97 м2 )</v>
      </c>
      <c r="D3937" s="32" t="str">
        <f>[1]Source!H4900</f>
        <v>100 м2</v>
      </c>
      <c r="E3937" s="4">
        <f>[1]Source!I4900</f>
        <v>0.10970000000000001</v>
      </c>
      <c r="F3937" s="33"/>
      <c r="G3937" s="34"/>
      <c r="H3937" s="4"/>
      <c r="I3937" s="4"/>
      <c r="J3937" s="33"/>
      <c r="K3937" s="33"/>
      <c r="M3937"/>
      <c r="N3937"/>
      <c r="O3937"/>
      <c r="P3937"/>
      <c r="Q3937"/>
      <c r="AB3937">
        <f>ROUND(([1]Source!BZ4900/100)*ROUND(([1]Source!AF4900*[1]Source!AV4900)*[1]Source!I4900, 2), 2)</f>
        <v>8315.7999999999993</v>
      </c>
      <c r="AC3937">
        <f>[1]Source!X4900</f>
        <v>8315.7999999999993</v>
      </c>
      <c r="AD3937">
        <f>ROUND(([1]Source!CA4900/100)*ROUND(([1]Source!AF4900*[1]Source!AV4900)*[1]Source!I4900, 2), 2)</f>
        <v>1187.97</v>
      </c>
      <c r="AE3937">
        <f>[1]Source!Y4900</f>
        <v>1187.97</v>
      </c>
      <c r="AF3937">
        <f>ROUND((175/100)*ROUND(([1]Source!AE4900*[1]Source!AV4900)*[1]Source!I4900, 2), 2)</f>
        <v>0</v>
      </c>
      <c r="AG3937">
        <f>ROUND((108/100)*ROUND([1]Source!CS4900*[1]Source!I4900, 2), 2)</f>
        <v>0</v>
      </c>
    </row>
    <row r="3938" spans="1:33" x14ac:dyDescent="0.2">
      <c r="C3938" s="40" t="str">
        <f>"Объем: "&amp;[1]Source!I4900&amp;"=10,97/"&amp;"100"</f>
        <v>Объем: 0,1097=10,97/100</v>
      </c>
      <c r="M3938"/>
      <c r="N3938"/>
      <c r="O3938"/>
      <c r="P3938"/>
      <c r="Q3938"/>
    </row>
    <row r="3939" spans="1:33" ht="14.25" x14ac:dyDescent="0.2">
      <c r="A3939" s="31"/>
      <c r="B3939" s="31"/>
      <c r="C3939" s="31" t="s">
        <v>34</v>
      </c>
      <c r="D3939" s="32"/>
      <c r="E3939" s="4"/>
      <c r="F3939" s="33">
        <f>[1]Source!AO4900</f>
        <v>161.15</v>
      </c>
      <c r="G3939" s="34" t="str">
        <f>[1]Source!DG4900</f>
        <v>*4*168</v>
      </c>
      <c r="H3939" s="4">
        <f>[1]Source!AV4900</f>
        <v>1</v>
      </c>
      <c r="I3939" s="4">
        <f>IF([1]Source!BA4900&lt;&gt; 0, [1]Source!BA4900, 1)</f>
        <v>1</v>
      </c>
      <c r="J3939" s="33">
        <f>[1]Source!S4900</f>
        <v>11879.72</v>
      </c>
      <c r="K3939" s="33"/>
      <c r="M3939"/>
      <c r="N3939"/>
      <c r="O3939"/>
      <c r="P3939"/>
      <c r="Q3939"/>
    </row>
    <row r="3940" spans="1:33" ht="14.25" x14ac:dyDescent="0.2">
      <c r="A3940" s="31"/>
      <c r="B3940" s="31"/>
      <c r="C3940" s="31" t="s">
        <v>40</v>
      </c>
      <c r="D3940" s="32" t="s">
        <v>39</v>
      </c>
      <c r="E3940" s="4">
        <f>[1]Source!AT4900</f>
        <v>70</v>
      </c>
      <c r="F3940" s="33"/>
      <c r="G3940" s="34"/>
      <c r="H3940" s="4"/>
      <c r="I3940" s="4"/>
      <c r="J3940" s="33">
        <f>SUM(AC3937:AC3939)</f>
        <v>8315.7999999999993</v>
      </c>
      <c r="K3940" s="33"/>
      <c r="M3940"/>
      <c r="N3940"/>
      <c r="O3940"/>
      <c r="P3940"/>
      <c r="Q3940"/>
    </row>
    <row r="3941" spans="1:33" ht="14.25" x14ac:dyDescent="0.2">
      <c r="A3941" s="31"/>
      <c r="B3941" s="31"/>
      <c r="C3941" s="31" t="s">
        <v>41</v>
      </c>
      <c r="D3941" s="32" t="s">
        <v>39</v>
      </c>
      <c r="E3941" s="4">
        <f>[1]Source!AU4900</f>
        <v>10</v>
      </c>
      <c r="F3941" s="33"/>
      <c r="G3941" s="34"/>
      <c r="H3941" s="4"/>
      <c r="I3941" s="4"/>
      <c r="J3941" s="33">
        <f>SUM(AE3937:AE3940)</f>
        <v>1187.97</v>
      </c>
      <c r="K3941" s="33"/>
      <c r="M3941"/>
      <c r="N3941"/>
      <c r="O3941"/>
      <c r="P3941"/>
      <c r="Q3941"/>
    </row>
    <row r="3942" spans="1:33" ht="14.25" x14ac:dyDescent="0.2">
      <c r="A3942" s="31"/>
      <c r="B3942" s="31"/>
      <c r="C3942" s="31" t="s">
        <v>42</v>
      </c>
      <c r="D3942" s="32" t="s">
        <v>43</v>
      </c>
      <c r="E3942" s="4">
        <f>[1]Source!AQ4900</f>
        <v>0.65</v>
      </c>
      <c r="F3942" s="33"/>
      <c r="G3942" s="34" t="str">
        <f>[1]Source!DI4900</f>
        <v>*4*168</v>
      </c>
      <c r="H3942" s="4">
        <f>[1]Source!AV4900</f>
        <v>1</v>
      </c>
      <c r="I3942" s="4"/>
      <c r="J3942" s="33"/>
      <c r="K3942" s="33">
        <f>[1]Source!U4900</f>
        <v>47.916960000000003</v>
      </c>
      <c r="M3942"/>
      <c r="N3942"/>
      <c r="O3942"/>
      <c r="P3942"/>
      <c r="Q3942"/>
    </row>
    <row r="3943" spans="1:33" ht="15" x14ac:dyDescent="0.25">
      <c r="A3943" s="35"/>
      <c r="B3943" s="35"/>
      <c r="C3943" s="35"/>
      <c r="D3943" s="35"/>
      <c r="E3943" s="35"/>
      <c r="F3943" s="35"/>
      <c r="G3943" s="35"/>
      <c r="H3943" s="35"/>
      <c r="I3943" s="36">
        <f>J3939+J3940+J3941</f>
        <v>21383.489999999998</v>
      </c>
      <c r="J3943" s="36"/>
      <c r="K3943" s="37">
        <f>IF([1]Source!I4900&lt;&gt;0, ROUND(I3943/[1]Source!I4900, 2), 0)</f>
        <v>194926.98</v>
      </c>
      <c r="M3943"/>
      <c r="N3943"/>
      <c r="O3943"/>
      <c r="P3943"/>
      <c r="Q3943"/>
      <c r="AA3943" s="38">
        <f>I3943</f>
        <v>21383.489999999998</v>
      </c>
    </row>
    <row r="3944" spans="1:33" ht="28.5" x14ac:dyDescent="0.2">
      <c r="A3944" s="31">
        <v>492</v>
      </c>
      <c r="B3944" s="31" t="str">
        <f>[1]Source!F4901</f>
        <v>5.3-1102-8-3/1</v>
      </c>
      <c r="C3944" s="31" t="str">
        <f>[1]Source!G4901</f>
        <v>Уборка слежавшегося снега вручную ( S= 31,34м2*0,7*0,5=10,97 м2)</v>
      </c>
      <c r="D3944" s="32" t="str">
        <f>[1]Source!H4901</f>
        <v>100 м2</v>
      </c>
      <c r="E3944" s="4">
        <f>[1]Source!I4901</f>
        <v>0.10970000000000001</v>
      </c>
      <c r="F3944" s="33"/>
      <c r="G3944" s="34"/>
      <c r="H3944" s="4"/>
      <c r="I3944" s="4"/>
      <c r="J3944" s="33"/>
      <c r="K3944" s="33"/>
      <c r="M3944"/>
      <c r="N3944"/>
      <c r="O3944"/>
      <c r="P3944"/>
      <c r="Q3944"/>
      <c r="AB3944">
        <f>ROUND(([1]Source!BZ4901/100)*ROUND(([1]Source!AF4901*[1]Source!AV4901)*[1]Source!I4901, 2), 2)</f>
        <v>4893.63</v>
      </c>
      <c r="AC3944">
        <f>[1]Source!X4901</f>
        <v>4893.63</v>
      </c>
      <c r="AD3944">
        <f>ROUND(([1]Source!CA4901/100)*ROUND(([1]Source!AF4901*[1]Source!AV4901)*[1]Source!I4901, 2), 2)</f>
        <v>699.09</v>
      </c>
      <c r="AE3944">
        <f>[1]Source!Y4901</f>
        <v>699.09</v>
      </c>
      <c r="AF3944">
        <f>ROUND((175/100)*ROUND(([1]Source!AE4901*[1]Source!AV4901)*[1]Source!I4901, 2), 2)</f>
        <v>0</v>
      </c>
      <c r="AG3944">
        <f>ROUND((108/100)*ROUND([1]Source!CS4901*[1]Source!I4901, 2), 2)</f>
        <v>0</v>
      </c>
    </row>
    <row r="3945" spans="1:33" x14ac:dyDescent="0.2">
      <c r="C3945" s="40" t="str">
        <f>"Объем: "&amp;[1]Source!I4901&amp;"=10,97/"&amp;"100"</f>
        <v>Объем: 0,1097=10,97/100</v>
      </c>
      <c r="M3945"/>
      <c r="N3945"/>
      <c r="O3945"/>
      <c r="P3945"/>
      <c r="Q3945"/>
    </row>
    <row r="3946" spans="1:33" ht="14.25" x14ac:dyDescent="0.2">
      <c r="A3946" s="31"/>
      <c r="B3946" s="31"/>
      <c r="C3946" s="31" t="s">
        <v>34</v>
      </c>
      <c r="D3946" s="32"/>
      <c r="E3946" s="4"/>
      <c r="F3946" s="33">
        <f>[1]Source!AO4901</f>
        <v>379.33</v>
      </c>
      <c r="G3946" s="34" t="str">
        <f>[1]Source!DG4901</f>
        <v>)*1*168</v>
      </c>
      <c r="H3946" s="4">
        <f>[1]Source!AV4901</f>
        <v>1</v>
      </c>
      <c r="I3946" s="4">
        <f>IF([1]Source!BA4901&lt;&gt; 0, [1]Source!BA4901, 1)</f>
        <v>1</v>
      </c>
      <c r="J3946" s="33">
        <f>[1]Source!S4901</f>
        <v>6990.9</v>
      </c>
      <c r="K3946" s="33"/>
      <c r="M3946"/>
      <c r="N3946"/>
      <c r="O3946"/>
      <c r="P3946"/>
      <c r="Q3946"/>
    </row>
    <row r="3947" spans="1:33" ht="14.25" x14ac:dyDescent="0.2">
      <c r="A3947" s="31"/>
      <c r="B3947" s="31"/>
      <c r="C3947" s="31" t="s">
        <v>40</v>
      </c>
      <c r="D3947" s="32" t="s">
        <v>39</v>
      </c>
      <c r="E3947" s="4">
        <f>[1]Source!AT4901</f>
        <v>70</v>
      </c>
      <c r="F3947" s="33"/>
      <c r="G3947" s="34"/>
      <c r="H3947" s="4"/>
      <c r="I3947" s="4"/>
      <c r="J3947" s="33">
        <f>SUM(AC3944:AC3946)</f>
        <v>4893.63</v>
      </c>
      <c r="K3947" s="33"/>
      <c r="M3947"/>
      <c r="N3947"/>
      <c r="O3947"/>
      <c r="P3947"/>
      <c r="Q3947"/>
    </row>
    <row r="3948" spans="1:33" ht="14.25" x14ac:dyDescent="0.2">
      <c r="A3948" s="31"/>
      <c r="B3948" s="31"/>
      <c r="C3948" s="31" t="s">
        <v>41</v>
      </c>
      <c r="D3948" s="32" t="s">
        <v>39</v>
      </c>
      <c r="E3948" s="4">
        <f>[1]Source!AU4901</f>
        <v>10</v>
      </c>
      <c r="F3948" s="33"/>
      <c r="G3948" s="34"/>
      <c r="H3948" s="4"/>
      <c r="I3948" s="4"/>
      <c r="J3948" s="33">
        <f>SUM(AE3944:AE3947)</f>
        <v>699.09</v>
      </c>
      <c r="K3948" s="33"/>
      <c r="M3948"/>
      <c r="N3948"/>
      <c r="O3948"/>
      <c r="P3948"/>
      <c r="Q3948"/>
    </row>
    <row r="3949" spans="1:33" ht="14.25" x14ac:dyDescent="0.2">
      <c r="A3949" s="31"/>
      <c r="B3949" s="31"/>
      <c r="C3949" s="31" t="s">
        <v>42</v>
      </c>
      <c r="D3949" s="32" t="s">
        <v>43</v>
      </c>
      <c r="E3949" s="4">
        <f>[1]Source!AQ4901</f>
        <v>1.53</v>
      </c>
      <c r="F3949" s="33"/>
      <c r="G3949" s="34" t="str">
        <f>[1]Source!DI4901</f>
        <v>)*1*168</v>
      </c>
      <c r="H3949" s="4">
        <f>[1]Source!AV4901</f>
        <v>1</v>
      </c>
      <c r="I3949" s="4"/>
      <c r="J3949" s="33"/>
      <c r="K3949" s="33">
        <f>[1]Source!U4901</f>
        <v>28.197288000000004</v>
      </c>
      <c r="M3949"/>
      <c r="N3949"/>
      <c r="O3949"/>
      <c r="P3949"/>
      <c r="Q3949"/>
    </row>
    <row r="3950" spans="1:33" ht="15" x14ac:dyDescent="0.25">
      <c r="A3950" s="35"/>
      <c r="B3950" s="35"/>
      <c r="C3950" s="35"/>
      <c r="D3950" s="35"/>
      <c r="E3950" s="35"/>
      <c r="F3950" s="35"/>
      <c r="G3950" s="35"/>
      <c r="H3950" s="35"/>
      <c r="I3950" s="36">
        <f>J3946+J3947+J3948</f>
        <v>12583.619999999999</v>
      </c>
      <c r="J3950" s="36"/>
      <c r="K3950" s="37">
        <f>IF([1]Source!I4901&lt;&gt;0, ROUND(I3950/[1]Source!I4901, 2), 0)</f>
        <v>114709.39</v>
      </c>
      <c r="M3950"/>
      <c r="N3950"/>
      <c r="O3950"/>
      <c r="P3950"/>
      <c r="Q3950"/>
      <c r="AA3950" s="38">
        <f>I3950</f>
        <v>12583.619999999999</v>
      </c>
    </row>
    <row r="3951" spans="1:33" ht="42.75" x14ac:dyDescent="0.2">
      <c r="A3951" s="31">
        <v>493</v>
      </c>
      <c r="B3951" s="31" t="str">
        <f>[1]Source!F4902</f>
        <v>5.3-1102-8-1/1</v>
      </c>
      <c r="C3951" s="31" t="str">
        <f>[1]Source!G4902</f>
        <v>Уборка свежевыпавшего снега вручную толщиной слоя до 10 см ( S= 31,34 м2*0,3*0,5=4,70м2)</v>
      </c>
      <c r="D3951" s="32" t="str">
        <f>[1]Source!H4902</f>
        <v>100 м2</v>
      </c>
      <c r="E3951" s="4">
        <f>[1]Source!I4902</f>
        <v>4.7E-2</v>
      </c>
      <c r="F3951" s="33"/>
      <c r="G3951" s="34"/>
      <c r="H3951" s="4"/>
      <c r="I3951" s="4"/>
      <c r="J3951" s="33"/>
      <c r="K3951" s="33"/>
      <c r="M3951"/>
      <c r="N3951"/>
      <c r="O3951"/>
      <c r="P3951"/>
      <c r="Q3951"/>
      <c r="AB3951">
        <f>ROUND(([1]Source!BZ4902/100)*ROUND(([1]Source!AF4902*[1]Source!AV4902)*[1]Source!I4902, 2), 2)</f>
        <v>3562.83</v>
      </c>
      <c r="AC3951">
        <f>[1]Source!X4902</f>
        <v>3562.83</v>
      </c>
      <c r="AD3951">
        <f>ROUND(([1]Source!CA4902/100)*ROUND(([1]Source!AF4902*[1]Source!AV4902)*[1]Source!I4902, 2), 2)</f>
        <v>508.98</v>
      </c>
      <c r="AE3951">
        <f>[1]Source!Y4902</f>
        <v>508.98</v>
      </c>
      <c r="AF3951">
        <f>ROUND((175/100)*ROUND(([1]Source!AE4902*[1]Source!AV4902)*[1]Source!I4902, 2), 2)</f>
        <v>0</v>
      </c>
      <c r="AG3951">
        <f>ROUND((108/100)*ROUND([1]Source!CS4902*[1]Source!I4902, 2), 2)</f>
        <v>0</v>
      </c>
    </row>
    <row r="3952" spans="1:33" x14ac:dyDescent="0.2">
      <c r="C3952" s="40" t="str">
        <f>"Объем: "&amp;[1]Source!I4902&amp;"=4,7/"&amp;"100"</f>
        <v>Объем: 0,047=4,7/100</v>
      </c>
      <c r="M3952"/>
      <c r="N3952"/>
      <c r="O3952"/>
      <c r="P3952"/>
      <c r="Q3952"/>
    </row>
    <row r="3953" spans="1:33" ht="14.25" x14ac:dyDescent="0.2">
      <c r="A3953" s="31"/>
      <c r="B3953" s="31"/>
      <c r="C3953" s="31" t="s">
        <v>34</v>
      </c>
      <c r="D3953" s="32"/>
      <c r="E3953" s="4"/>
      <c r="F3953" s="33">
        <f>[1]Source!AO4902</f>
        <v>161.15</v>
      </c>
      <c r="G3953" s="34" t="str">
        <f>[1]Source!DG4902</f>
        <v>*4*168</v>
      </c>
      <c r="H3953" s="4">
        <f>[1]Source!AV4902</f>
        <v>1</v>
      </c>
      <c r="I3953" s="4">
        <f>IF([1]Source!BA4902&lt;&gt; 0, [1]Source!BA4902, 1)</f>
        <v>1</v>
      </c>
      <c r="J3953" s="33">
        <f>[1]Source!S4902</f>
        <v>5089.76</v>
      </c>
      <c r="K3953" s="33"/>
      <c r="M3953"/>
      <c r="N3953"/>
      <c r="O3953"/>
      <c r="P3953"/>
      <c r="Q3953"/>
    </row>
    <row r="3954" spans="1:33" ht="14.25" x14ac:dyDescent="0.2">
      <c r="A3954" s="31"/>
      <c r="B3954" s="31"/>
      <c r="C3954" s="31" t="s">
        <v>40</v>
      </c>
      <c r="D3954" s="32" t="s">
        <v>39</v>
      </c>
      <c r="E3954" s="4">
        <f>[1]Source!AT4902</f>
        <v>70</v>
      </c>
      <c r="F3954" s="33"/>
      <c r="G3954" s="34"/>
      <c r="H3954" s="4"/>
      <c r="I3954" s="4"/>
      <c r="J3954" s="33">
        <f>SUM(AC3951:AC3953)</f>
        <v>3562.83</v>
      </c>
      <c r="K3954" s="33"/>
      <c r="M3954"/>
      <c r="N3954"/>
      <c r="O3954"/>
      <c r="P3954"/>
      <c r="Q3954"/>
    </row>
    <row r="3955" spans="1:33" ht="14.25" x14ac:dyDescent="0.2">
      <c r="A3955" s="31"/>
      <c r="B3955" s="31"/>
      <c r="C3955" s="31" t="s">
        <v>41</v>
      </c>
      <c r="D3955" s="32" t="s">
        <v>39</v>
      </c>
      <c r="E3955" s="4">
        <f>[1]Source!AU4902</f>
        <v>10</v>
      </c>
      <c r="F3955" s="33"/>
      <c r="G3955" s="34"/>
      <c r="H3955" s="4"/>
      <c r="I3955" s="4"/>
      <c r="J3955" s="33">
        <f>SUM(AE3951:AE3954)</f>
        <v>508.98</v>
      </c>
      <c r="K3955" s="33"/>
      <c r="M3955"/>
      <c r="N3955"/>
      <c r="O3955"/>
      <c r="P3955"/>
      <c r="Q3955"/>
    </row>
    <row r="3956" spans="1:33" ht="14.25" x14ac:dyDescent="0.2">
      <c r="A3956" s="31"/>
      <c r="B3956" s="31"/>
      <c r="C3956" s="31" t="s">
        <v>42</v>
      </c>
      <c r="D3956" s="32" t="s">
        <v>43</v>
      </c>
      <c r="E3956" s="4">
        <f>[1]Source!AQ4902</f>
        <v>0.65</v>
      </c>
      <c r="F3956" s="33"/>
      <c r="G3956" s="34" t="str">
        <f>[1]Source!DI4902</f>
        <v>*4*168</v>
      </c>
      <c r="H3956" s="4">
        <f>[1]Source!AV4902</f>
        <v>1</v>
      </c>
      <c r="I3956" s="4"/>
      <c r="J3956" s="33"/>
      <c r="K3956" s="33">
        <f>[1]Source!U4902</f>
        <v>20.529600000000002</v>
      </c>
      <c r="M3956"/>
      <c r="N3956"/>
      <c r="O3956"/>
      <c r="P3956"/>
      <c r="Q3956"/>
    </row>
    <row r="3957" spans="1:33" ht="15" x14ac:dyDescent="0.25">
      <c r="A3957" s="35"/>
      <c r="B3957" s="35"/>
      <c r="C3957" s="35"/>
      <c r="D3957" s="35"/>
      <c r="E3957" s="35"/>
      <c r="F3957" s="35"/>
      <c r="G3957" s="35"/>
      <c r="H3957" s="35"/>
      <c r="I3957" s="36">
        <f>J3953+J3954+J3955</f>
        <v>9161.57</v>
      </c>
      <c r="J3957" s="36"/>
      <c r="K3957" s="37">
        <f>IF([1]Source!I4902&lt;&gt;0, ROUND(I3957/[1]Source!I4902, 2), 0)</f>
        <v>194927.02</v>
      </c>
      <c r="M3957"/>
      <c r="N3957"/>
      <c r="O3957"/>
      <c r="P3957"/>
      <c r="Q3957"/>
      <c r="AA3957" s="38">
        <f>I3957</f>
        <v>9161.57</v>
      </c>
    </row>
    <row r="3958" spans="1:33" ht="57" x14ac:dyDescent="0.2">
      <c r="A3958" s="31">
        <v>494</v>
      </c>
      <c r="B3958" s="31" t="str">
        <f>[1]Source!F4903</f>
        <v>5.3-1102-8-2/1</v>
      </c>
      <c r="C3958" s="31" t="str">
        <f>[1]Source!G4903</f>
        <v>Уборка свежевыпавшего снега вручную, добавлять на каждые следующие 10 см увеличения толщины слоя</v>
      </c>
      <c r="D3958" s="32" t="str">
        <f>[1]Source!H4903</f>
        <v>100 м2</v>
      </c>
      <c r="E3958" s="4">
        <f>[1]Source!I4903</f>
        <v>4.7E-2</v>
      </c>
      <c r="F3958" s="33"/>
      <c r="G3958" s="34"/>
      <c r="H3958" s="4"/>
      <c r="I3958" s="4"/>
      <c r="J3958" s="33"/>
      <c r="K3958" s="33"/>
      <c r="M3958"/>
      <c r="N3958"/>
      <c r="O3958"/>
      <c r="P3958"/>
      <c r="Q3958"/>
      <c r="AB3958">
        <f>ROUND(([1]Source!BZ4903/100)*ROUND(([1]Source!AF4903*[1]Source!AV4903)*[1]Source!I4903, 2), 2)</f>
        <v>2576.34</v>
      </c>
      <c r="AC3958">
        <f>[1]Source!X4903</f>
        <v>2576.34</v>
      </c>
      <c r="AD3958">
        <f>ROUND(([1]Source!CA4903/100)*ROUND(([1]Source!AF4903*[1]Source!AV4903)*[1]Source!I4903, 2), 2)</f>
        <v>368.05</v>
      </c>
      <c r="AE3958">
        <f>[1]Source!Y4903</f>
        <v>368.05</v>
      </c>
      <c r="AF3958">
        <f>ROUND((175/100)*ROUND(([1]Source!AE4903*[1]Source!AV4903)*[1]Source!I4903, 2), 2)</f>
        <v>0</v>
      </c>
      <c r="AG3958">
        <f>ROUND((108/100)*ROUND([1]Source!CS4903*[1]Source!I4903, 2), 2)</f>
        <v>0</v>
      </c>
    </row>
    <row r="3959" spans="1:33" x14ac:dyDescent="0.2">
      <c r="C3959" s="40" t="str">
        <f>"Объем: "&amp;[1]Source!I4903&amp;"=4,7/"&amp;"100"</f>
        <v>Объем: 0,047=4,7/100</v>
      </c>
      <c r="M3959"/>
      <c r="N3959"/>
      <c r="O3959"/>
      <c r="P3959"/>
      <c r="Q3959"/>
    </row>
    <row r="3960" spans="1:33" ht="14.25" x14ac:dyDescent="0.2">
      <c r="A3960" s="31"/>
      <c r="B3960" s="31"/>
      <c r="C3960" s="31" t="s">
        <v>34</v>
      </c>
      <c r="D3960" s="32"/>
      <c r="E3960" s="4"/>
      <c r="F3960" s="33">
        <f>[1]Source!AO4903</f>
        <v>116.53</v>
      </c>
      <c r="G3960" s="34" t="str">
        <f>[1]Source!DG4903</f>
        <v>*4*168</v>
      </c>
      <c r="H3960" s="4">
        <f>[1]Source!AV4903</f>
        <v>1</v>
      </c>
      <c r="I3960" s="4">
        <f>IF([1]Source!BA4903&lt;&gt; 0, [1]Source!BA4903, 1)</f>
        <v>1</v>
      </c>
      <c r="J3960" s="33">
        <f>[1]Source!S4903</f>
        <v>3680.48</v>
      </c>
      <c r="K3960" s="33"/>
      <c r="M3960"/>
      <c r="N3960"/>
      <c r="O3960"/>
      <c r="P3960"/>
      <c r="Q3960"/>
    </row>
    <row r="3961" spans="1:33" ht="14.25" x14ac:dyDescent="0.2">
      <c r="A3961" s="31"/>
      <c r="B3961" s="31"/>
      <c r="C3961" s="31" t="s">
        <v>40</v>
      </c>
      <c r="D3961" s="32" t="s">
        <v>39</v>
      </c>
      <c r="E3961" s="4">
        <f>[1]Source!AT4903</f>
        <v>70</v>
      </c>
      <c r="F3961" s="33"/>
      <c r="G3961" s="34"/>
      <c r="H3961" s="4"/>
      <c r="I3961" s="4"/>
      <c r="J3961" s="33">
        <f>SUM(AC3958:AC3960)</f>
        <v>2576.34</v>
      </c>
      <c r="K3961" s="33"/>
      <c r="M3961"/>
      <c r="N3961"/>
      <c r="O3961"/>
      <c r="P3961"/>
      <c r="Q3961"/>
    </row>
    <row r="3962" spans="1:33" ht="14.25" x14ac:dyDescent="0.2">
      <c r="A3962" s="31"/>
      <c r="B3962" s="31"/>
      <c r="C3962" s="31" t="s">
        <v>41</v>
      </c>
      <c r="D3962" s="32" t="s">
        <v>39</v>
      </c>
      <c r="E3962" s="4">
        <f>[1]Source!AU4903</f>
        <v>10</v>
      </c>
      <c r="F3962" s="33"/>
      <c r="G3962" s="34"/>
      <c r="H3962" s="4"/>
      <c r="I3962" s="4"/>
      <c r="J3962" s="33">
        <f>SUM(AE3958:AE3961)</f>
        <v>368.05</v>
      </c>
      <c r="K3962" s="33"/>
      <c r="M3962"/>
      <c r="N3962"/>
      <c r="O3962"/>
      <c r="P3962"/>
      <c r="Q3962"/>
    </row>
    <row r="3963" spans="1:33" ht="14.25" x14ac:dyDescent="0.2">
      <c r="A3963" s="31"/>
      <c r="B3963" s="31"/>
      <c r="C3963" s="31" t="s">
        <v>42</v>
      </c>
      <c r="D3963" s="32" t="s">
        <v>43</v>
      </c>
      <c r="E3963" s="4">
        <f>[1]Source!AQ4903</f>
        <v>0.47</v>
      </c>
      <c r="F3963" s="33"/>
      <c r="G3963" s="34" t="str">
        <f>[1]Source!DI4903</f>
        <v>*4*168</v>
      </c>
      <c r="H3963" s="4">
        <f>[1]Source!AV4903</f>
        <v>1</v>
      </c>
      <c r="I3963" s="4"/>
      <c r="J3963" s="33"/>
      <c r="K3963" s="33">
        <f>[1]Source!U4903</f>
        <v>14.844479999999999</v>
      </c>
      <c r="M3963"/>
      <c r="N3963"/>
      <c r="O3963"/>
      <c r="P3963"/>
      <c r="Q3963"/>
    </row>
    <row r="3964" spans="1:33" ht="15" x14ac:dyDescent="0.25">
      <c r="A3964" s="35"/>
      <c r="B3964" s="35"/>
      <c r="C3964" s="35"/>
      <c r="D3964" s="35"/>
      <c r="E3964" s="35"/>
      <c r="F3964" s="35"/>
      <c r="G3964" s="35"/>
      <c r="H3964" s="35"/>
      <c r="I3964" s="36">
        <f>J3960+J3961+J3962</f>
        <v>6624.87</v>
      </c>
      <c r="J3964" s="36"/>
      <c r="K3964" s="37">
        <f>IF([1]Source!I4903&lt;&gt;0, ROUND(I3964/[1]Source!I4903, 2), 0)</f>
        <v>140954.68</v>
      </c>
      <c r="M3964"/>
      <c r="N3964"/>
      <c r="O3964"/>
      <c r="P3964"/>
      <c r="Q3964"/>
      <c r="AA3964" s="38">
        <f>I3964</f>
        <v>6624.87</v>
      </c>
    </row>
    <row r="3965" spans="1:33" ht="42.75" x14ac:dyDescent="0.2">
      <c r="A3965" s="31">
        <v>495</v>
      </c>
      <c r="B3965" s="31" t="str">
        <f>[1]Source!F4904</f>
        <v>5.3-1102-9-1/1</v>
      </c>
      <c r="C3965" s="31" t="str">
        <f>[1]Source!G4904</f>
        <v>Колка льда на обледеневших покрытиях вручную ( S= 31,34 м2*0,3*0,5=4,7 м2 )</v>
      </c>
      <c r="D3965" s="32" t="str">
        <f>[1]Source!H4904</f>
        <v>100 м2</v>
      </c>
      <c r="E3965" s="4">
        <f>[1]Source!I4904</f>
        <v>4.7E-2</v>
      </c>
      <c r="F3965" s="33"/>
      <c r="G3965" s="34"/>
      <c r="H3965" s="4"/>
      <c r="I3965" s="4"/>
      <c r="J3965" s="33"/>
      <c r="K3965" s="33"/>
      <c r="M3965"/>
      <c r="N3965"/>
      <c r="O3965"/>
      <c r="P3965"/>
      <c r="Q3965"/>
      <c r="AB3965">
        <f>ROUND(([1]Source!BZ4904/100)*ROUND(([1]Source!AF4904*[1]Source!AV4904)*[1]Source!I4904, 2), 2)</f>
        <v>6605.12</v>
      </c>
      <c r="AC3965">
        <f>[1]Source!X4904</f>
        <v>6605.12</v>
      </c>
      <c r="AD3965">
        <f>ROUND(([1]Source!CA4904/100)*ROUND(([1]Source!AF4904*[1]Source!AV4904)*[1]Source!I4904, 2), 2)</f>
        <v>943.59</v>
      </c>
      <c r="AE3965">
        <f>[1]Source!Y4904</f>
        <v>943.59</v>
      </c>
      <c r="AF3965">
        <f>ROUND((175/100)*ROUND(([1]Source!AE4904*[1]Source!AV4904)*[1]Source!I4904, 2), 2)</f>
        <v>0</v>
      </c>
      <c r="AG3965">
        <f>ROUND((108/100)*ROUND([1]Source!CS4904*[1]Source!I4904, 2), 2)</f>
        <v>0</v>
      </c>
    </row>
    <row r="3966" spans="1:33" x14ac:dyDescent="0.2">
      <c r="C3966" s="40" t="str">
        <f>"Объем: "&amp;[1]Source!I4904&amp;"=4,7/"&amp;"100"</f>
        <v>Объем: 0,047=4,7/100</v>
      </c>
      <c r="M3966"/>
      <c r="N3966"/>
      <c r="O3966"/>
      <c r="P3966"/>
      <c r="Q3966"/>
    </row>
    <row r="3967" spans="1:33" ht="14.25" x14ac:dyDescent="0.2">
      <c r="A3967" s="31"/>
      <c r="B3967" s="31"/>
      <c r="C3967" s="31" t="s">
        <v>34</v>
      </c>
      <c r="D3967" s="32"/>
      <c r="E3967" s="4"/>
      <c r="F3967" s="33">
        <f>[1]Source!AO4904</f>
        <v>597.51</v>
      </c>
      <c r="G3967" s="34" t="str">
        <f>[1]Source!DG4904</f>
        <v>)*2*168</v>
      </c>
      <c r="H3967" s="4">
        <f>[1]Source!AV4904</f>
        <v>1</v>
      </c>
      <c r="I3967" s="4">
        <f>IF([1]Source!BA4904&lt;&gt; 0, [1]Source!BA4904, 1)</f>
        <v>1</v>
      </c>
      <c r="J3967" s="33">
        <f>[1]Source!S4904</f>
        <v>9435.8799999999992</v>
      </c>
      <c r="K3967" s="33"/>
      <c r="M3967"/>
      <c r="N3967"/>
      <c r="O3967"/>
      <c r="P3967"/>
      <c r="Q3967"/>
    </row>
    <row r="3968" spans="1:33" ht="14.25" x14ac:dyDescent="0.2">
      <c r="A3968" s="31"/>
      <c r="B3968" s="31"/>
      <c r="C3968" s="31" t="s">
        <v>40</v>
      </c>
      <c r="D3968" s="32" t="s">
        <v>39</v>
      </c>
      <c r="E3968" s="4">
        <f>[1]Source!AT4904</f>
        <v>70</v>
      </c>
      <c r="F3968" s="33"/>
      <c r="G3968" s="34"/>
      <c r="H3968" s="4"/>
      <c r="I3968" s="4"/>
      <c r="J3968" s="33">
        <f>SUM(AC3965:AC3967)</f>
        <v>6605.12</v>
      </c>
      <c r="K3968" s="33"/>
      <c r="M3968"/>
      <c r="N3968"/>
      <c r="O3968"/>
      <c r="P3968"/>
      <c r="Q3968"/>
    </row>
    <row r="3969" spans="1:33" ht="14.25" x14ac:dyDescent="0.2">
      <c r="A3969" s="31"/>
      <c r="B3969" s="31"/>
      <c r="C3969" s="31" t="s">
        <v>41</v>
      </c>
      <c r="D3969" s="32" t="s">
        <v>39</v>
      </c>
      <c r="E3969" s="4">
        <f>[1]Source!AU4904</f>
        <v>10</v>
      </c>
      <c r="F3969" s="33"/>
      <c r="G3969" s="34"/>
      <c r="H3969" s="4"/>
      <c r="I3969" s="4"/>
      <c r="J3969" s="33">
        <f>SUM(AE3965:AE3968)</f>
        <v>943.59</v>
      </c>
      <c r="K3969" s="33"/>
      <c r="M3969"/>
      <c r="N3969"/>
      <c r="O3969"/>
      <c r="P3969"/>
      <c r="Q3969"/>
    </row>
    <row r="3970" spans="1:33" ht="14.25" x14ac:dyDescent="0.2">
      <c r="A3970" s="31"/>
      <c r="B3970" s="31"/>
      <c r="C3970" s="31" t="s">
        <v>42</v>
      </c>
      <c r="D3970" s="32" t="s">
        <v>43</v>
      </c>
      <c r="E3970" s="4">
        <f>[1]Source!AQ4904</f>
        <v>2.41</v>
      </c>
      <c r="F3970" s="33"/>
      <c r="G3970" s="34" t="str">
        <f>[1]Source!DI4904</f>
        <v>)*2*168</v>
      </c>
      <c r="H3970" s="4">
        <f>[1]Source!AV4904</f>
        <v>1</v>
      </c>
      <c r="I3970" s="4"/>
      <c r="J3970" s="33"/>
      <c r="K3970" s="33">
        <f>[1]Source!U4904</f>
        <v>38.058720000000001</v>
      </c>
      <c r="M3970"/>
      <c r="N3970"/>
      <c r="O3970"/>
      <c r="P3970"/>
      <c r="Q3970"/>
    </row>
    <row r="3971" spans="1:33" ht="15" x14ac:dyDescent="0.25">
      <c r="A3971" s="35"/>
      <c r="B3971" s="35"/>
      <c r="C3971" s="35"/>
      <c r="D3971" s="35"/>
      <c r="E3971" s="35"/>
      <c r="F3971" s="35"/>
      <c r="G3971" s="35"/>
      <c r="H3971" s="35"/>
      <c r="I3971" s="36">
        <f>J3967+J3968+J3969</f>
        <v>16984.59</v>
      </c>
      <c r="J3971" s="36"/>
      <c r="K3971" s="37">
        <f>IF([1]Source!I4904&lt;&gt;0, ROUND(I3971/[1]Source!I4904, 2), 0)</f>
        <v>361374.26</v>
      </c>
      <c r="M3971"/>
      <c r="N3971"/>
      <c r="O3971"/>
      <c r="P3971"/>
      <c r="Q3971"/>
      <c r="AA3971" s="38">
        <f>I3971</f>
        <v>16984.59</v>
      </c>
    </row>
    <row r="3972" spans="1:33" ht="28.5" x14ac:dyDescent="0.2">
      <c r="A3972" s="31">
        <v>496</v>
      </c>
      <c r="B3972" s="31" t="str">
        <f>[1]Source!F4905</f>
        <v>калькуляция</v>
      </c>
      <c r="C3972" s="31" t="str">
        <f>[1]Source!G4905</f>
        <v>Посыпка  гранитной крошкой дорожных покрытий вручную( 100г/м2 )</v>
      </c>
      <c r="D3972" s="32" t="str">
        <f>[1]Source!H4905</f>
        <v>м2</v>
      </c>
      <c r="E3972" s="4">
        <f>[1]Source!I4905</f>
        <v>31.34</v>
      </c>
      <c r="F3972" s="33"/>
      <c r="G3972" s="34"/>
      <c r="H3972" s="4"/>
      <c r="I3972" s="4"/>
      <c r="J3972" s="33"/>
      <c r="K3972" s="33"/>
      <c r="M3972"/>
      <c r="N3972"/>
      <c r="O3972"/>
      <c r="P3972"/>
      <c r="Q3972"/>
      <c r="AB3972">
        <f>ROUND(([1]Source!BZ4905/100)*ROUND(([1]Source!AF4905*[1]Source!AV4905)*[1]Source!I4905, 2), 2)</f>
        <v>0</v>
      </c>
      <c r="AC3972">
        <f>[1]Source!X4905</f>
        <v>0</v>
      </c>
      <c r="AD3972">
        <f>ROUND(([1]Source!CA4905/100)*ROUND(([1]Source!AF4905*[1]Source!AV4905)*[1]Source!I4905, 2), 2)</f>
        <v>0</v>
      </c>
      <c r="AE3972">
        <f>[1]Source!Y4905</f>
        <v>0</v>
      </c>
      <c r="AF3972">
        <f>ROUND((175/100)*ROUND(([1]Source!AE4905*[1]Source!AV4905)*[1]Source!I4905, 2), 2)</f>
        <v>0</v>
      </c>
      <c r="AG3972">
        <f>ROUND((108/100)*ROUND([1]Source!CS4905*[1]Source!I4905, 2), 2)</f>
        <v>0</v>
      </c>
    </row>
    <row r="3973" spans="1:33" ht="14.25" x14ac:dyDescent="0.2">
      <c r="A3973" s="31"/>
      <c r="B3973" s="31"/>
      <c r="C3973" s="31" t="s">
        <v>34</v>
      </c>
      <c r="D3973" s="32"/>
      <c r="E3973" s="4"/>
      <c r="F3973" s="33">
        <f>[1]Source!AO4905</f>
        <v>2.08</v>
      </c>
      <c r="G3973" s="34" t="str">
        <f>[1]Source!DG4905</f>
        <v>*4*168</v>
      </c>
      <c r="H3973" s="4">
        <f>[1]Source!AV4905</f>
        <v>1</v>
      </c>
      <c r="I3973" s="4">
        <f>IF([1]Source!BA4905&lt;&gt; 0, [1]Source!BA4905, 1)</f>
        <v>1</v>
      </c>
      <c r="J3973" s="33">
        <f>[1]Source!S4905</f>
        <v>43805.8</v>
      </c>
      <c r="K3973" s="33"/>
      <c r="M3973"/>
      <c r="N3973"/>
      <c r="O3973"/>
      <c r="P3973"/>
      <c r="Q3973"/>
    </row>
    <row r="3974" spans="1:33" ht="14.25" x14ac:dyDescent="0.2">
      <c r="A3974" s="31" t="s">
        <v>191</v>
      </c>
      <c r="B3974" s="31" t="str">
        <f>[1]Source!F4906</f>
        <v>цена поставщика</v>
      </c>
      <c r="C3974" s="31" t="str">
        <f>[1]Source!G4906</f>
        <v>Крошка гранитная</v>
      </c>
      <c r="D3974" s="32" t="str">
        <f>[1]Source!H4906</f>
        <v>кг</v>
      </c>
      <c r="E3974" s="4">
        <f>[1]Source!I4906</f>
        <v>2106.0479999999998</v>
      </c>
      <c r="F3974" s="33">
        <f>[1]Source!AK4906</f>
        <v>4.43</v>
      </c>
      <c r="G3974" s="39" t="s">
        <v>68</v>
      </c>
      <c r="H3974" s="4">
        <f>[1]Source!AW4906</f>
        <v>1</v>
      </c>
      <c r="I3974" s="4">
        <f>IF([1]Source!BC4906&lt;&gt; 0, [1]Source!BC4906, 1)</f>
        <v>1</v>
      </c>
      <c r="J3974" s="33">
        <f>[1]Source!O4906</f>
        <v>9329.7900000000009</v>
      </c>
      <c r="K3974" s="33"/>
      <c r="M3974"/>
      <c r="N3974"/>
      <c r="O3974"/>
      <c r="P3974"/>
      <c r="Q3974"/>
      <c r="AB3974">
        <f>ROUND(([1]Source!BZ4906/100)*ROUND(([1]Source!AF4906*[1]Source!AV4906)*[1]Source!I4906, 2), 2)</f>
        <v>0</v>
      </c>
      <c r="AC3974">
        <f>[1]Source!X4906</f>
        <v>0</v>
      </c>
      <c r="AD3974">
        <f>ROUND(([1]Source!CA4906/100)*ROUND(([1]Source!AF4906*[1]Source!AV4906)*[1]Source!I4906, 2), 2)</f>
        <v>0</v>
      </c>
      <c r="AE3974">
        <f>[1]Source!Y4906</f>
        <v>0</v>
      </c>
      <c r="AF3974">
        <f>ROUND((175/100)*ROUND(([1]Source!AE4906*[1]Source!AV4906)*[1]Source!I4906, 2), 2)</f>
        <v>0</v>
      </c>
      <c r="AG3974">
        <f>ROUND((108/100)*ROUND([1]Source!CS4906*[1]Source!I4906, 2), 2)</f>
        <v>0</v>
      </c>
    </row>
    <row r="3975" spans="1:33" ht="15" x14ac:dyDescent="0.25">
      <c r="A3975" s="35"/>
      <c r="B3975" s="35"/>
      <c r="C3975" s="35"/>
      <c r="D3975" s="35"/>
      <c r="E3975" s="35"/>
      <c r="F3975" s="35"/>
      <c r="G3975" s="35"/>
      <c r="H3975" s="35"/>
      <c r="I3975" s="36">
        <f>J3973+SUM(J3974:J3974)</f>
        <v>53135.590000000004</v>
      </c>
      <c r="J3975" s="36"/>
      <c r="K3975" s="37">
        <f>IF([1]Source!I4905&lt;&gt;0, ROUND(I3975/[1]Source!I4905, 2), 0)</f>
        <v>1695.46</v>
      </c>
      <c r="M3975"/>
      <c r="N3975"/>
      <c r="O3975"/>
      <c r="P3975"/>
      <c r="Q3975"/>
      <c r="AA3975" s="38">
        <f>I3975</f>
        <v>53135.590000000004</v>
      </c>
    </row>
    <row r="3976" spans="1:33" ht="28.5" x14ac:dyDescent="0.2">
      <c r="A3976" s="31">
        <v>497</v>
      </c>
      <c r="B3976" s="31" t="str">
        <f>[1]Source!F4907</f>
        <v>5.4-1201-1-1/1</v>
      </c>
      <c r="C3976" s="31" t="str">
        <f>[1]Source!G4907</f>
        <v>Сбор случайного мусора по территории</v>
      </c>
      <c r="D3976" s="32" t="str">
        <f>[1]Source!H4907</f>
        <v>100 м2</v>
      </c>
      <c r="E3976" s="4">
        <f>[1]Source!I4907</f>
        <v>0.31340000000000001</v>
      </c>
      <c r="F3976" s="33"/>
      <c r="G3976" s="34"/>
      <c r="H3976" s="4"/>
      <c r="I3976" s="4"/>
      <c r="J3976" s="33"/>
      <c r="K3976" s="33"/>
      <c r="M3976"/>
      <c r="N3976"/>
      <c r="O3976"/>
      <c r="P3976"/>
      <c r="Q3976"/>
      <c r="AB3976">
        <f>ROUND(([1]Source!BZ4907/100)*ROUND(([1]Source!AF4907*[1]Source!AV4907)*[1]Source!I4907, 2), 2)</f>
        <v>3612.57</v>
      </c>
      <c r="AC3976">
        <f>[1]Source!X4907</f>
        <v>3612.57</v>
      </c>
      <c r="AD3976">
        <f>ROUND(([1]Source!CA4907/100)*ROUND(([1]Source!AF4907*[1]Source!AV4907)*[1]Source!I4907, 2), 2)</f>
        <v>516.08000000000004</v>
      </c>
      <c r="AE3976">
        <f>[1]Source!Y4907</f>
        <v>516.08000000000004</v>
      </c>
      <c r="AF3976">
        <f>ROUND((175/100)*ROUND(([1]Source!AE4907*[1]Source!AV4907)*[1]Source!I4907, 2), 2)</f>
        <v>0</v>
      </c>
      <c r="AG3976">
        <f>ROUND((108/100)*ROUND([1]Source!CS4907*[1]Source!I4907, 2), 2)</f>
        <v>0</v>
      </c>
    </row>
    <row r="3977" spans="1:33" x14ac:dyDescent="0.2">
      <c r="C3977" s="40" t="str">
        <f>"Объем: "&amp;[1]Source!I4907&amp;"=31,34/"&amp;"100"</f>
        <v>Объем: 0,3134=31,34/100</v>
      </c>
      <c r="M3977"/>
      <c r="N3977"/>
      <c r="O3977"/>
      <c r="P3977"/>
      <c r="Q3977"/>
    </row>
    <row r="3978" spans="1:33" ht="14.25" x14ac:dyDescent="0.2">
      <c r="A3978" s="31"/>
      <c r="B3978" s="31"/>
      <c r="C3978" s="31" t="s">
        <v>34</v>
      </c>
      <c r="D3978" s="32"/>
      <c r="E3978" s="4"/>
      <c r="F3978" s="33">
        <f>[1]Source!AO4907</f>
        <v>12.4</v>
      </c>
      <c r="G3978" s="34" t="str">
        <f>[1]Source!DG4907</f>
        <v>)*4*332</v>
      </c>
      <c r="H3978" s="4">
        <f>[1]Source!AV4907</f>
        <v>1</v>
      </c>
      <c r="I3978" s="4">
        <f>IF([1]Source!BA4907&lt;&gt; 0, [1]Source!BA4907, 1)</f>
        <v>1</v>
      </c>
      <c r="J3978" s="33">
        <f>[1]Source!S4907</f>
        <v>5160.82</v>
      </c>
      <c r="K3978" s="33"/>
      <c r="M3978"/>
      <c r="N3978"/>
      <c r="O3978"/>
      <c r="P3978"/>
      <c r="Q3978"/>
    </row>
    <row r="3979" spans="1:33" ht="14.25" x14ac:dyDescent="0.2">
      <c r="A3979" s="31"/>
      <c r="B3979" s="31"/>
      <c r="C3979" s="31" t="s">
        <v>47</v>
      </c>
      <c r="D3979" s="32"/>
      <c r="E3979" s="4"/>
      <c r="F3979" s="33">
        <f>[1]Source!AL4907</f>
        <v>0.69</v>
      </c>
      <c r="G3979" s="34" t="str">
        <f>[1]Source!DD4907</f>
        <v>)*4*332</v>
      </c>
      <c r="H3979" s="4">
        <f>[1]Source!AW4907</f>
        <v>1</v>
      </c>
      <c r="I3979" s="4">
        <f>IF([1]Source!BC4907&lt;&gt; 0, [1]Source!BC4907, 1)</f>
        <v>1</v>
      </c>
      <c r="J3979" s="33">
        <f>[1]Source!P4907</f>
        <v>287.17</v>
      </c>
      <c r="K3979" s="33"/>
      <c r="M3979"/>
      <c r="N3979"/>
      <c r="O3979"/>
      <c r="P3979"/>
      <c r="Q3979"/>
    </row>
    <row r="3980" spans="1:33" ht="14.25" x14ac:dyDescent="0.2">
      <c r="A3980" s="31"/>
      <c r="B3980" s="31"/>
      <c r="C3980" s="31" t="s">
        <v>40</v>
      </c>
      <c r="D3980" s="32" t="s">
        <v>39</v>
      </c>
      <c r="E3980" s="4">
        <f>[1]Source!AT4907</f>
        <v>70</v>
      </c>
      <c r="F3980" s="33"/>
      <c r="G3980" s="34"/>
      <c r="H3980" s="4"/>
      <c r="I3980" s="4"/>
      <c r="J3980" s="33">
        <f>SUM(AC3976:AC3979)</f>
        <v>3612.57</v>
      </c>
      <c r="K3980" s="33"/>
      <c r="M3980"/>
      <c r="N3980"/>
      <c r="O3980"/>
      <c r="P3980"/>
      <c r="Q3980"/>
    </row>
    <row r="3981" spans="1:33" ht="14.25" x14ac:dyDescent="0.2">
      <c r="A3981" s="31"/>
      <c r="B3981" s="31"/>
      <c r="C3981" s="31" t="s">
        <v>41</v>
      </c>
      <c r="D3981" s="32" t="s">
        <v>39</v>
      </c>
      <c r="E3981" s="4">
        <f>[1]Source!AU4907</f>
        <v>10</v>
      </c>
      <c r="F3981" s="33"/>
      <c r="G3981" s="34"/>
      <c r="H3981" s="4"/>
      <c r="I3981" s="4"/>
      <c r="J3981" s="33">
        <f>SUM(AE3976:AE3980)</f>
        <v>516.08000000000004</v>
      </c>
      <c r="K3981" s="33"/>
      <c r="M3981"/>
      <c r="N3981"/>
      <c r="O3981"/>
      <c r="P3981"/>
      <c r="Q3981"/>
    </row>
    <row r="3982" spans="1:33" ht="14.25" x14ac:dyDescent="0.2">
      <c r="A3982" s="31"/>
      <c r="B3982" s="31"/>
      <c r="C3982" s="31" t="s">
        <v>42</v>
      </c>
      <c r="D3982" s="32" t="s">
        <v>43</v>
      </c>
      <c r="E3982" s="4">
        <f>[1]Source!AQ4907</f>
        <v>0.05</v>
      </c>
      <c r="F3982" s="33"/>
      <c r="G3982" s="34" t="str">
        <f>[1]Source!DI4907</f>
        <v>)*4*332</v>
      </c>
      <c r="H3982" s="4">
        <f>[1]Source!AV4907</f>
        <v>1</v>
      </c>
      <c r="I3982" s="4"/>
      <c r="J3982" s="33"/>
      <c r="K3982" s="33">
        <f>[1]Source!U4907</f>
        <v>20.809760000000004</v>
      </c>
      <c r="M3982"/>
      <c r="N3982"/>
      <c r="O3982"/>
      <c r="P3982"/>
      <c r="Q3982"/>
    </row>
    <row r="3983" spans="1:33" ht="15" x14ac:dyDescent="0.25">
      <c r="A3983" s="35"/>
      <c r="B3983" s="35"/>
      <c r="C3983" s="35"/>
      <c r="D3983" s="35"/>
      <c r="E3983" s="35"/>
      <c r="F3983" s="35"/>
      <c r="G3983" s="35"/>
      <c r="H3983" s="35"/>
      <c r="I3983" s="36">
        <f>J3978+J3979+J3980+J3981</f>
        <v>9576.64</v>
      </c>
      <c r="J3983" s="36"/>
      <c r="K3983" s="37">
        <f>IF([1]Source!I4907&lt;&gt;0, ROUND(I3983/[1]Source!I4907, 2), 0)</f>
        <v>30557.24</v>
      </c>
      <c r="M3983"/>
      <c r="N3983"/>
      <c r="O3983"/>
      <c r="P3983"/>
      <c r="Q3983"/>
      <c r="AA3983" s="38">
        <f>I3983</f>
        <v>9576.64</v>
      </c>
    </row>
    <row r="3984" spans="1:33" x14ac:dyDescent="0.2">
      <c r="M3984"/>
      <c r="N3984"/>
      <c r="O3984"/>
      <c r="P3984"/>
      <c r="Q3984"/>
    </row>
    <row r="3985" spans="1:33" ht="15" x14ac:dyDescent="0.25">
      <c r="A3985" s="42" t="str">
        <f>CONCATENATE("Итого по подразделу: ",IF([1]Source!G4909&lt;&gt;"Новый подраздел", [1]Source!G4909, ""))</f>
        <v>Итого по подразделу: Уход за покрытием пандуса</v>
      </c>
      <c r="B3985" s="42"/>
      <c r="C3985" s="42"/>
      <c r="D3985" s="42"/>
      <c r="E3985" s="42"/>
      <c r="F3985" s="42"/>
      <c r="G3985" s="42"/>
      <c r="H3985" s="42"/>
      <c r="I3985" s="43">
        <f>SUM(AA3933:AA3984)</f>
        <v>156588.29999999999</v>
      </c>
      <c r="J3985" s="44"/>
      <c r="K3985" s="47"/>
      <c r="L3985" s="38">
        <f>I3985</f>
        <v>156588.29999999999</v>
      </c>
      <c r="M3985" s="2">
        <f>ROUND(I3985*$I$4874,2)</f>
        <v>113089.14</v>
      </c>
      <c r="N3985" s="2">
        <f>ROUND(M3985*1.2/105*100,2)</f>
        <v>129244.73</v>
      </c>
      <c r="O3985" s="2">
        <f>ROUND(N3985*0.05,2)</f>
        <v>6462.24</v>
      </c>
      <c r="P3985" s="2">
        <f>N3985+O3985</f>
        <v>135706.97</v>
      </c>
      <c r="Q3985" s="3">
        <v>6</v>
      </c>
      <c r="S3985" s="2">
        <v>24860.41</v>
      </c>
    </row>
    <row r="3986" spans="1:33" x14ac:dyDescent="0.2">
      <c r="M3986"/>
      <c r="N3986"/>
      <c r="O3986"/>
      <c r="P3986"/>
      <c r="Q3986"/>
    </row>
    <row r="3987" spans="1:33" x14ac:dyDescent="0.2">
      <c r="M3987"/>
      <c r="N3987"/>
      <c r="O3987"/>
      <c r="P3987"/>
      <c r="Q3987"/>
    </row>
    <row r="3988" spans="1:33" ht="15" x14ac:dyDescent="0.25">
      <c r="A3988" s="42" t="str">
        <f>CONCATENATE("Итого по разделу: ",IF([1]Source!G4939&lt;&gt;"Новый раздел", [1]Source!G4939, ""))</f>
        <v>Итого по разделу: Содержание твердых покрытий Москворецкой набережной</v>
      </c>
      <c r="B3988" s="42"/>
      <c r="C3988" s="42"/>
      <c r="D3988" s="42"/>
      <c r="E3988" s="42"/>
      <c r="F3988" s="42"/>
      <c r="G3988" s="42"/>
      <c r="H3988" s="42"/>
      <c r="I3988" s="43">
        <f>SUM(AA3916:AA3987)</f>
        <v>555922.76</v>
      </c>
      <c r="J3988" s="44"/>
      <c r="K3988" s="47"/>
      <c r="L3988" s="38">
        <f>I3988</f>
        <v>555922.76</v>
      </c>
      <c r="M3988" s="2">
        <f>M3930+M3985</f>
        <v>401491.22000000003</v>
      </c>
      <c r="N3988" s="2">
        <f>N3930+N3985</f>
        <v>458847.11</v>
      </c>
      <c r="O3988" s="2">
        <f>ROUND(N3988*0.05,2)</f>
        <v>22942.36</v>
      </c>
      <c r="P3988" s="2">
        <f>SUM(P3930:P3985)</f>
        <v>481789.47</v>
      </c>
      <c r="Q3988" s="48"/>
      <c r="R3988">
        <v>2</v>
      </c>
    </row>
    <row r="3989" spans="1:33" x14ac:dyDescent="0.2">
      <c r="M3989"/>
      <c r="N3989"/>
      <c r="O3989"/>
      <c r="P3989"/>
      <c r="Q3989"/>
    </row>
    <row r="3990" spans="1:33" x14ac:dyDescent="0.2">
      <c r="M3990"/>
      <c r="N3990"/>
      <c r="O3990"/>
      <c r="P3990"/>
      <c r="Q3990"/>
    </row>
    <row r="3991" spans="1:33" ht="16.5" x14ac:dyDescent="0.25">
      <c r="A3991" s="29" t="str">
        <f>CONCATENATE("Раздел: ",IF([1]Source!G4969&lt;&gt;"Новый раздел", [1]Source!G4969, ""))</f>
        <v>Раздел: "Патриаршее подворье"</v>
      </c>
      <c r="B3991" s="29"/>
      <c r="C3991" s="29"/>
      <c r="D3991" s="29"/>
      <c r="E3991" s="29"/>
      <c r="F3991" s="29"/>
      <c r="G3991" s="29"/>
      <c r="H3991" s="29"/>
      <c r="I3991" s="29"/>
      <c r="J3991" s="29"/>
      <c r="K3991" s="29"/>
      <c r="M3991"/>
      <c r="N3991"/>
      <c r="O3991"/>
      <c r="P3991"/>
      <c r="Q3991"/>
    </row>
    <row r="3992" spans="1:33" x14ac:dyDescent="0.2">
      <c r="M3992"/>
      <c r="N3992"/>
      <c r="O3992"/>
      <c r="P3992"/>
      <c r="Q3992"/>
    </row>
    <row r="3993" spans="1:33" ht="16.5" x14ac:dyDescent="0.25">
      <c r="A3993" s="29" t="str">
        <f>CONCATENATE("Подраздел: ",IF([1]Source!G4973&lt;&gt;"Новый подраздел", [1]Source!G4973, ""))</f>
        <v>Подраздел: Содержание лестниц</v>
      </c>
      <c r="B3993" s="29"/>
      <c r="C3993" s="29"/>
      <c r="D3993" s="29"/>
      <c r="E3993" s="29"/>
      <c r="F3993" s="29"/>
      <c r="G3993" s="29"/>
      <c r="H3993" s="29"/>
      <c r="I3993" s="29"/>
      <c r="J3993" s="29"/>
      <c r="K3993" s="29"/>
      <c r="M3993"/>
      <c r="N3993"/>
      <c r="O3993"/>
      <c r="P3993"/>
      <c r="Q3993"/>
    </row>
    <row r="3994" spans="1:33" ht="14.25" x14ac:dyDescent="0.2">
      <c r="A3994" s="31">
        <v>498</v>
      </c>
      <c r="B3994" s="31" t="str">
        <f>[1]Source!F4977</f>
        <v>калькуляция</v>
      </c>
      <c r="C3994" s="31" t="str">
        <f>[1]Source!G4977</f>
        <v>Подметание лестницы</v>
      </c>
      <c r="D3994" s="32" t="str">
        <f>[1]Source!H4977</f>
        <v>м2</v>
      </c>
      <c r="E3994" s="4">
        <f>[1]Source!I4977</f>
        <v>88.7</v>
      </c>
      <c r="F3994" s="33"/>
      <c r="G3994" s="34"/>
      <c r="H3994" s="4"/>
      <c r="I3994" s="4"/>
      <c r="J3994" s="33"/>
      <c r="K3994" s="33"/>
      <c r="M3994"/>
      <c r="N3994"/>
      <c r="O3994"/>
      <c r="P3994"/>
      <c r="Q3994"/>
      <c r="AB3994">
        <f>ROUND(([1]Source!BZ4977/100)*ROUND(([1]Source!AF4977*[1]Source!AV4977)*[1]Source!I4977, 2), 2)</f>
        <v>0</v>
      </c>
      <c r="AC3994">
        <f>[1]Source!X4977</f>
        <v>0</v>
      </c>
      <c r="AD3994">
        <f>ROUND(([1]Source!CA4977/100)*ROUND(([1]Source!AF4977*[1]Source!AV4977)*[1]Source!I4977, 2), 2)</f>
        <v>0</v>
      </c>
      <c r="AE3994">
        <f>[1]Source!Y4977</f>
        <v>0</v>
      </c>
      <c r="AF3994">
        <f>ROUND((175/100)*ROUND(([1]Source!AE4977*[1]Source!AV4977)*[1]Source!I4977, 2), 2)</f>
        <v>0</v>
      </c>
      <c r="AG3994">
        <f>ROUND((108/100)*ROUND([1]Source!CS4977*[1]Source!I4977, 2), 2)</f>
        <v>0</v>
      </c>
    </row>
    <row r="3995" spans="1:33" ht="14.25" x14ac:dyDescent="0.2">
      <c r="A3995" s="31"/>
      <c r="B3995" s="31"/>
      <c r="C3995" s="31" t="s">
        <v>34</v>
      </c>
      <c r="D3995" s="32"/>
      <c r="E3995" s="4"/>
      <c r="F3995" s="33">
        <f>[1]Source!AO4977</f>
        <v>1.94</v>
      </c>
      <c r="G3995" s="34" t="str">
        <f>[1]Source!DG4977</f>
        <v>)*4*164</v>
      </c>
      <c r="H3995" s="4">
        <f>[1]Source!AV4977</f>
        <v>1</v>
      </c>
      <c r="I3995" s="4">
        <f>IF([1]Source!BA4977&lt;&gt; 0, [1]Source!BA4977, 1)</f>
        <v>1</v>
      </c>
      <c r="J3995" s="33">
        <f>[1]Source!S4977</f>
        <v>112883.17</v>
      </c>
      <c r="K3995" s="33"/>
      <c r="M3995"/>
      <c r="N3995"/>
      <c r="O3995"/>
      <c r="P3995"/>
      <c r="Q3995"/>
    </row>
    <row r="3996" spans="1:33" ht="15" x14ac:dyDescent="0.25">
      <c r="A3996" s="35"/>
      <c r="B3996" s="35"/>
      <c r="C3996" s="35"/>
      <c r="D3996" s="35"/>
      <c r="E3996" s="35"/>
      <c r="F3996" s="35"/>
      <c r="G3996" s="35"/>
      <c r="H3996" s="35"/>
      <c r="I3996" s="36">
        <f>J3995</f>
        <v>112883.17</v>
      </c>
      <c r="J3996" s="36"/>
      <c r="K3996" s="37">
        <f>IF([1]Source!I4977&lt;&gt;0, ROUND(I3996/[1]Source!I4977, 2), 0)</f>
        <v>1272.6400000000001</v>
      </c>
      <c r="M3996"/>
      <c r="N3996"/>
      <c r="O3996"/>
      <c r="P3996"/>
      <c r="Q3996"/>
      <c r="AA3996" s="38">
        <f>I3996</f>
        <v>112883.17</v>
      </c>
    </row>
    <row r="3997" spans="1:33" ht="42.75" x14ac:dyDescent="0.2">
      <c r="A3997" s="31">
        <v>499</v>
      </c>
      <c r="B3997" s="31" t="str">
        <f>[1]Source!F4978</f>
        <v>5.3-1102-19-1/1</v>
      </c>
      <c r="C3997" s="31" t="str">
        <f>[1]Source!G4978</f>
        <v>Уборка лестниц от снега вручную на территории типа ВДНХ - толщиной до 10 см</v>
      </c>
      <c r="D3997" s="32" t="str">
        <f>[1]Source!H4978</f>
        <v>100 м2</v>
      </c>
      <c r="E3997" s="4">
        <f>[1]Source!I4978</f>
        <v>0.88700000000000001</v>
      </c>
      <c r="F3997" s="33"/>
      <c r="G3997" s="34"/>
      <c r="H3997" s="4"/>
      <c r="I3997" s="4"/>
      <c r="J3997" s="33"/>
      <c r="K3997" s="33"/>
      <c r="M3997"/>
      <c r="N3997"/>
      <c r="O3997"/>
      <c r="P3997"/>
      <c r="Q3997"/>
      <c r="AB3997">
        <f>ROUND(([1]Source!BZ4978/100)*ROUND(([1]Source!AF4978*[1]Source!AV4978)*[1]Source!I4978, 2), 2)</f>
        <v>64138.87</v>
      </c>
      <c r="AC3997">
        <f>[1]Source!X4978</f>
        <v>64138.87</v>
      </c>
      <c r="AD3997">
        <f>ROUND(([1]Source!CA4978/100)*ROUND(([1]Source!AF4978*[1]Source!AV4978)*[1]Source!I4978, 2), 2)</f>
        <v>9162.7000000000007</v>
      </c>
      <c r="AE3997">
        <f>[1]Source!Y4978</f>
        <v>9162.7000000000007</v>
      </c>
      <c r="AF3997">
        <f>ROUND((175/100)*ROUND(([1]Source!AE4978*[1]Source!AV4978)*[1]Source!I4978, 2), 2)</f>
        <v>0</v>
      </c>
      <c r="AG3997">
        <f>ROUND((108/100)*ROUND([1]Source!CS4978*[1]Source!I4978, 2), 2)</f>
        <v>0</v>
      </c>
    </row>
    <row r="3998" spans="1:33" x14ac:dyDescent="0.2">
      <c r="C3998" s="40" t="str">
        <f>"Объем: "&amp;[1]Source!I4978&amp;"=88,7/"&amp;"100"</f>
        <v>Объем: 0,887=88,7/100</v>
      </c>
      <c r="M3998"/>
      <c r="N3998"/>
      <c r="O3998"/>
      <c r="P3998"/>
      <c r="Q3998"/>
    </row>
    <row r="3999" spans="1:33" ht="14.25" x14ac:dyDescent="0.2">
      <c r="A3999" s="31"/>
      <c r="B3999" s="31"/>
      <c r="C3999" s="31" t="s">
        <v>34</v>
      </c>
      <c r="D3999" s="32"/>
      <c r="E3999" s="4"/>
      <c r="F3999" s="33">
        <f>[1]Source!AO4978</f>
        <v>153.72</v>
      </c>
      <c r="G3999" s="34" t="str">
        <f>[1]Source!DG4978</f>
        <v>)*4*168</v>
      </c>
      <c r="H3999" s="4">
        <f>[1]Source!AV4978</f>
        <v>1</v>
      </c>
      <c r="I3999" s="4">
        <f>IF([1]Source!BA4978&lt;&gt; 0, [1]Source!BA4978, 1)</f>
        <v>1</v>
      </c>
      <c r="J3999" s="33">
        <f>[1]Source!S4978</f>
        <v>91626.96</v>
      </c>
      <c r="K3999" s="33"/>
      <c r="M3999"/>
      <c r="N3999"/>
      <c r="O3999"/>
      <c r="P3999"/>
      <c r="Q3999"/>
    </row>
    <row r="4000" spans="1:33" ht="14.25" x14ac:dyDescent="0.2">
      <c r="A4000" s="31"/>
      <c r="B4000" s="31"/>
      <c r="C4000" s="31" t="s">
        <v>40</v>
      </c>
      <c r="D4000" s="32" t="s">
        <v>39</v>
      </c>
      <c r="E4000" s="4">
        <f>[1]Source!AT4978</f>
        <v>70</v>
      </c>
      <c r="F4000" s="33"/>
      <c r="G4000" s="34"/>
      <c r="H4000" s="4"/>
      <c r="I4000" s="4"/>
      <c r="J4000" s="33">
        <f>SUM(AC3997:AC3999)</f>
        <v>64138.87</v>
      </c>
      <c r="K4000" s="33"/>
      <c r="M4000"/>
      <c r="N4000"/>
      <c r="O4000"/>
      <c r="P4000"/>
      <c r="Q4000"/>
    </row>
    <row r="4001" spans="1:33" ht="14.25" x14ac:dyDescent="0.2">
      <c r="A4001" s="31"/>
      <c r="B4001" s="31"/>
      <c r="C4001" s="31" t="s">
        <v>41</v>
      </c>
      <c r="D4001" s="32" t="s">
        <v>39</v>
      </c>
      <c r="E4001" s="4">
        <f>[1]Source!AU4978</f>
        <v>10</v>
      </c>
      <c r="F4001" s="33"/>
      <c r="G4001" s="34"/>
      <c r="H4001" s="4"/>
      <c r="I4001" s="4"/>
      <c r="J4001" s="33">
        <f>SUM(AE3997:AE4000)</f>
        <v>9162.7000000000007</v>
      </c>
      <c r="K4001" s="33"/>
      <c r="M4001"/>
      <c r="N4001"/>
      <c r="O4001"/>
      <c r="P4001"/>
      <c r="Q4001"/>
    </row>
    <row r="4002" spans="1:33" ht="14.25" x14ac:dyDescent="0.2">
      <c r="A4002" s="31"/>
      <c r="B4002" s="31"/>
      <c r="C4002" s="31" t="s">
        <v>42</v>
      </c>
      <c r="D4002" s="32" t="s">
        <v>43</v>
      </c>
      <c r="E4002" s="4">
        <f>[1]Source!AQ4978</f>
        <v>0.62</v>
      </c>
      <c r="F4002" s="33"/>
      <c r="G4002" s="34" t="str">
        <f>[1]Source!DI4978</f>
        <v>)*4*168</v>
      </c>
      <c r="H4002" s="4">
        <f>[1]Source!AV4978</f>
        <v>1</v>
      </c>
      <c r="I4002" s="4"/>
      <c r="J4002" s="33"/>
      <c r="K4002" s="33">
        <f>[1]Source!U4978</f>
        <v>369.55968000000001</v>
      </c>
      <c r="M4002"/>
      <c r="N4002"/>
      <c r="O4002"/>
      <c r="P4002"/>
      <c r="Q4002"/>
    </row>
    <row r="4003" spans="1:33" ht="15" x14ac:dyDescent="0.25">
      <c r="A4003" s="35"/>
      <c r="B4003" s="35"/>
      <c r="C4003" s="35"/>
      <c r="D4003" s="35"/>
      <c r="E4003" s="35"/>
      <c r="F4003" s="35"/>
      <c r="G4003" s="35"/>
      <c r="H4003" s="35"/>
      <c r="I4003" s="36">
        <f>J3999+J4000+J4001</f>
        <v>164928.53000000003</v>
      </c>
      <c r="J4003" s="36"/>
      <c r="K4003" s="37">
        <f>IF([1]Source!I4978&lt;&gt;0, ROUND(I4003/[1]Source!I4978, 2), 0)</f>
        <v>185939.72</v>
      </c>
      <c r="M4003"/>
      <c r="N4003"/>
      <c r="O4003"/>
      <c r="P4003"/>
      <c r="Q4003"/>
      <c r="AA4003" s="38">
        <f>I4003</f>
        <v>164928.53000000003</v>
      </c>
    </row>
    <row r="4004" spans="1:33" ht="28.5" x14ac:dyDescent="0.2">
      <c r="A4004" s="31">
        <v>500</v>
      </c>
      <c r="B4004" s="31" t="str">
        <f>[1]Source!F4979</f>
        <v>5.3-1102-8-3/1</v>
      </c>
      <c r="C4004" s="31" t="str">
        <f>[1]Source!G4979</f>
        <v>Уборка слежавшегося снега вручную( 10% от 88,7 м2)</v>
      </c>
      <c r="D4004" s="32" t="str">
        <f>[1]Source!H4979</f>
        <v>100 м2</v>
      </c>
      <c r="E4004" s="4">
        <f>[1]Source!I4979</f>
        <v>8.8700000000000001E-2</v>
      </c>
      <c r="F4004" s="33"/>
      <c r="G4004" s="34"/>
      <c r="H4004" s="4"/>
      <c r="I4004" s="4"/>
      <c r="J4004" s="33"/>
      <c r="K4004" s="33"/>
      <c r="M4004"/>
      <c r="N4004"/>
      <c r="O4004"/>
      <c r="P4004"/>
      <c r="Q4004"/>
      <c r="AB4004">
        <f>ROUND(([1]Source!BZ4979/100)*ROUND(([1]Source!AF4979*[1]Source!AV4979)*[1]Source!I4979, 2), 2)</f>
        <v>989.21</v>
      </c>
      <c r="AC4004">
        <f>[1]Source!X4979</f>
        <v>989.21</v>
      </c>
      <c r="AD4004">
        <f>ROUND(([1]Source!CA4979/100)*ROUND(([1]Source!AF4979*[1]Source!AV4979)*[1]Source!I4979, 2), 2)</f>
        <v>141.32</v>
      </c>
      <c r="AE4004">
        <f>[1]Source!Y4979</f>
        <v>141.32</v>
      </c>
      <c r="AF4004">
        <f>ROUND((175/100)*ROUND(([1]Source!AE4979*[1]Source!AV4979)*[1]Source!I4979, 2), 2)</f>
        <v>0</v>
      </c>
      <c r="AG4004">
        <f>ROUND((108/100)*ROUND([1]Source!CS4979*[1]Source!I4979, 2), 2)</f>
        <v>0</v>
      </c>
    </row>
    <row r="4005" spans="1:33" x14ac:dyDescent="0.2">
      <c r="C4005" s="40" t="str">
        <f>"Объем: "&amp;[1]Source!I4979&amp;"=8,87/"&amp;"100"</f>
        <v>Объем: 0,0887=8,87/100</v>
      </c>
      <c r="M4005"/>
      <c r="N4005"/>
      <c r="O4005"/>
      <c r="P4005"/>
      <c r="Q4005"/>
    </row>
    <row r="4006" spans="1:33" ht="14.25" x14ac:dyDescent="0.2">
      <c r="A4006" s="31"/>
      <c r="B4006" s="31"/>
      <c r="C4006" s="31" t="s">
        <v>34</v>
      </c>
      <c r="D4006" s="32"/>
      <c r="E4006" s="4"/>
      <c r="F4006" s="33">
        <f>[1]Source!AO4979</f>
        <v>379.33</v>
      </c>
      <c r="G4006" s="34" t="str">
        <f>[1]Source!DG4979</f>
        <v>)*1*42</v>
      </c>
      <c r="H4006" s="4">
        <f>[1]Source!AV4979</f>
        <v>1</v>
      </c>
      <c r="I4006" s="4">
        <f>IF([1]Source!BA4979&lt;&gt; 0, [1]Source!BA4979, 1)</f>
        <v>1</v>
      </c>
      <c r="J4006" s="33">
        <f>[1]Source!S4979</f>
        <v>1413.16</v>
      </c>
      <c r="K4006" s="33"/>
      <c r="M4006"/>
      <c r="N4006"/>
      <c r="O4006"/>
      <c r="P4006"/>
      <c r="Q4006"/>
    </row>
    <row r="4007" spans="1:33" ht="14.25" x14ac:dyDescent="0.2">
      <c r="A4007" s="31"/>
      <c r="B4007" s="31"/>
      <c r="C4007" s="31" t="s">
        <v>40</v>
      </c>
      <c r="D4007" s="32" t="s">
        <v>39</v>
      </c>
      <c r="E4007" s="4">
        <f>[1]Source!AT4979</f>
        <v>70</v>
      </c>
      <c r="F4007" s="33"/>
      <c r="G4007" s="34"/>
      <c r="H4007" s="4"/>
      <c r="I4007" s="4"/>
      <c r="J4007" s="33">
        <f>SUM(AC4004:AC4006)</f>
        <v>989.21</v>
      </c>
      <c r="K4007" s="33"/>
      <c r="M4007"/>
      <c r="N4007"/>
      <c r="O4007"/>
      <c r="P4007"/>
      <c r="Q4007"/>
    </row>
    <row r="4008" spans="1:33" ht="14.25" x14ac:dyDescent="0.2">
      <c r="A4008" s="31"/>
      <c r="B4008" s="31"/>
      <c r="C4008" s="31" t="s">
        <v>41</v>
      </c>
      <c r="D4008" s="32" t="s">
        <v>39</v>
      </c>
      <c r="E4008" s="4">
        <f>[1]Source!AU4979</f>
        <v>10</v>
      </c>
      <c r="F4008" s="33"/>
      <c r="G4008" s="34"/>
      <c r="H4008" s="4"/>
      <c r="I4008" s="4"/>
      <c r="J4008" s="33">
        <f>SUM(AE4004:AE4007)</f>
        <v>141.32</v>
      </c>
      <c r="K4008" s="33"/>
      <c r="M4008"/>
      <c r="N4008"/>
      <c r="O4008"/>
      <c r="P4008"/>
      <c r="Q4008"/>
    </row>
    <row r="4009" spans="1:33" ht="14.25" x14ac:dyDescent="0.2">
      <c r="A4009" s="31"/>
      <c r="B4009" s="31"/>
      <c r="C4009" s="31" t="s">
        <v>42</v>
      </c>
      <c r="D4009" s="32" t="s">
        <v>43</v>
      </c>
      <c r="E4009" s="4">
        <f>[1]Source!AQ4979</f>
        <v>1.53</v>
      </c>
      <c r="F4009" s="33"/>
      <c r="G4009" s="34" t="str">
        <f>[1]Source!DI4979</f>
        <v>)*1*42</v>
      </c>
      <c r="H4009" s="4">
        <f>[1]Source!AV4979</f>
        <v>1</v>
      </c>
      <c r="I4009" s="4"/>
      <c r="J4009" s="33"/>
      <c r="K4009" s="33">
        <f>[1]Source!U4979</f>
        <v>5.6998620000000004</v>
      </c>
      <c r="M4009"/>
      <c r="N4009"/>
      <c r="O4009"/>
      <c r="P4009"/>
      <c r="Q4009"/>
    </row>
    <row r="4010" spans="1:33" ht="15" x14ac:dyDescent="0.25">
      <c r="A4010" s="35"/>
      <c r="B4010" s="35"/>
      <c r="C4010" s="35"/>
      <c r="D4010" s="35"/>
      <c r="E4010" s="35"/>
      <c r="F4010" s="35"/>
      <c r="G4010" s="35"/>
      <c r="H4010" s="35"/>
      <c r="I4010" s="36">
        <f>J4006+J4007+J4008</f>
        <v>2543.69</v>
      </c>
      <c r="J4010" s="36"/>
      <c r="K4010" s="37">
        <f>IF([1]Source!I4979&lt;&gt;0, ROUND(I4010/[1]Source!I4979, 2), 0)</f>
        <v>28677.45</v>
      </c>
      <c r="M4010"/>
      <c r="N4010"/>
      <c r="O4010"/>
      <c r="P4010"/>
      <c r="Q4010"/>
      <c r="AA4010" s="38">
        <f>I4010</f>
        <v>2543.69</v>
      </c>
    </row>
    <row r="4011" spans="1:33" ht="28.5" x14ac:dyDescent="0.2">
      <c r="A4011" s="31">
        <v>501</v>
      </c>
      <c r="B4011" s="31" t="str">
        <f>[1]Source!F4980</f>
        <v>калькуляция</v>
      </c>
      <c r="C4011" s="31" t="str">
        <f>[1]Source!G4980</f>
        <v>Посыпка гранитной крошкой дорожных покрытий вручную( 100г/м2 )</v>
      </c>
      <c r="D4011" s="32" t="str">
        <f>[1]Source!H4980</f>
        <v>м2</v>
      </c>
      <c r="E4011" s="4">
        <f>[1]Source!I4980</f>
        <v>88.7</v>
      </c>
      <c r="F4011" s="33"/>
      <c r="G4011" s="34"/>
      <c r="H4011" s="4"/>
      <c r="I4011" s="4"/>
      <c r="J4011" s="33"/>
      <c r="K4011" s="33"/>
      <c r="M4011"/>
      <c r="N4011"/>
      <c r="O4011"/>
      <c r="P4011"/>
      <c r="Q4011"/>
      <c r="AB4011">
        <f>ROUND(([1]Source!BZ4980/100)*ROUND(([1]Source!AF4980*[1]Source!AV4980)*[1]Source!I4980, 2), 2)</f>
        <v>0</v>
      </c>
      <c r="AC4011">
        <f>[1]Source!X4980</f>
        <v>0</v>
      </c>
      <c r="AD4011">
        <f>ROUND(([1]Source!CA4980/100)*ROUND(([1]Source!AF4980*[1]Source!AV4980)*[1]Source!I4980, 2), 2)</f>
        <v>0</v>
      </c>
      <c r="AE4011">
        <f>[1]Source!Y4980</f>
        <v>0</v>
      </c>
      <c r="AF4011">
        <f>ROUND((175/100)*ROUND(([1]Source!AE4980*[1]Source!AV4980)*[1]Source!I4980, 2), 2)</f>
        <v>0</v>
      </c>
      <c r="AG4011">
        <f>ROUND((108/100)*ROUND([1]Source!CS4980*[1]Source!I4980, 2), 2)</f>
        <v>0</v>
      </c>
    </row>
    <row r="4012" spans="1:33" ht="14.25" x14ac:dyDescent="0.2">
      <c r="A4012" s="31"/>
      <c r="B4012" s="31"/>
      <c r="C4012" s="31" t="s">
        <v>34</v>
      </c>
      <c r="D4012" s="32"/>
      <c r="E4012" s="4"/>
      <c r="F4012" s="33">
        <f>[1]Source!AO4980</f>
        <v>2.08</v>
      </c>
      <c r="G4012" s="34" t="str">
        <f>[1]Source!DG4980</f>
        <v>)*4*168</v>
      </c>
      <c r="H4012" s="4">
        <f>[1]Source!AV4980</f>
        <v>1</v>
      </c>
      <c r="I4012" s="4">
        <f>IF([1]Source!BA4980&lt;&gt; 0, [1]Source!BA4980, 1)</f>
        <v>1</v>
      </c>
      <c r="J4012" s="33">
        <f>[1]Source!S4980</f>
        <v>123981.31</v>
      </c>
      <c r="K4012" s="33"/>
      <c r="M4012"/>
      <c r="N4012"/>
      <c r="O4012"/>
      <c r="P4012"/>
      <c r="Q4012"/>
    </row>
    <row r="4013" spans="1:33" ht="14.25" x14ac:dyDescent="0.2">
      <c r="A4013" s="31" t="s">
        <v>192</v>
      </c>
      <c r="B4013" s="31" t="str">
        <f>[1]Source!F4981</f>
        <v>цена поставщика</v>
      </c>
      <c r="C4013" s="31" t="str">
        <f>[1]Source!G4981</f>
        <v>Крошка гранитная</v>
      </c>
      <c r="D4013" s="32" t="str">
        <f>[1]Source!H4981</f>
        <v>кг</v>
      </c>
      <c r="E4013" s="4">
        <f>[1]Source!I4981</f>
        <v>5960.64</v>
      </c>
      <c r="F4013" s="33">
        <f>[1]Source!AK4981</f>
        <v>4.43</v>
      </c>
      <c r="G4013" s="39" t="s">
        <v>45</v>
      </c>
      <c r="H4013" s="4">
        <f>[1]Source!AW4981</f>
        <v>1</v>
      </c>
      <c r="I4013" s="4">
        <f>IF([1]Source!BC4981&lt;&gt; 0, [1]Source!BC4981, 1)</f>
        <v>1</v>
      </c>
      <c r="J4013" s="33">
        <f>[1]Source!O4981</f>
        <v>26405.64</v>
      </c>
      <c r="K4013" s="33"/>
      <c r="M4013"/>
      <c r="N4013"/>
      <c r="O4013"/>
      <c r="P4013"/>
      <c r="Q4013"/>
      <c r="AB4013">
        <f>ROUND(([1]Source!BZ4981/100)*ROUND(([1]Source!AF4981*[1]Source!AV4981)*[1]Source!I4981, 2), 2)</f>
        <v>0</v>
      </c>
      <c r="AC4013">
        <f>[1]Source!X4981</f>
        <v>0</v>
      </c>
      <c r="AD4013">
        <f>ROUND(([1]Source!CA4981/100)*ROUND(([1]Source!AF4981*[1]Source!AV4981)*[1]Source!I4981, 2), 2)</f>
        <v>0</v>
      </c>
      <c r="AE4013">
        <f>[1]Source!Y4981</f>
        <v>0</v>
      </c>
      <c r="AF4013">
        <f>ROUND((175/100)*ROUND(([1]Source!AE4981*[1]Source!AV4981)*[1]Source!I4981, 2), 2)</f>
        <v>0</v>
      </c>
      <c r="AG4013">
        <f>ROUND((108/100)*ROUND([1]Source!CS4981*[1]Source!I4981, 2), 2)</f>
        <v>0</v>
      </c>
    </row>
    <row r="4014" spans="1:33" ht="15" x14ac:dyDescent="0.25">
      <c r="A4014" s="35"/>
      <c r="B4014" s="35"/>
      <c r="C4014" s="35"/>
      <c r="D4014" s="35"/>
      <c r="E4014" s="35"/>
      <c r="F4014" s="35"/>
      <c r="G4014" s="35"/>
      <c r="H4014" s="35"/>
      <c r="I4014" s="36">
        <f>J4012+SUM(J4013:J4013)</f>
        <v>150386.95000000001</v>
      </c>
      <c r="J4014" s="36"/>
      <c r="K4014" s="37">
        <f>IF([1]Source!I4980&lt;&gt;0, ROUND(I4014/[1]Source!I4980, 2), 0)</f>
        <v>1695.46</v>
      </c>
      <c r="M4014"/>
      <c r="N4014"/>
      <c r="O4014"/>
      <c r="P4014"/>
      <c r="Q4014"/>
      <c r="AA4014" s="38">
        <f>I4014</f>
        <v>150386.95000000001</v>
      </c>
    </row>
    <row r="4015" spans="1:33" x14ac:dyDescent="0.2">
      <c r="M4015"/>
      <c r="N4015"/>
      <c r="O4015"/>
      <c r="P4015"/>
      <c r="Q4015"/>
    </row>
    <row r="4016" spans="1:33" ht="15" x14ac:dyDescent="0.25">
      <c r="A4016" s="42" t="str">
        <f>CONCATENATE("Итого по подразделу: ",IF([1]Source!G4983&lt;&gt;"Новый подраздел", [1]Source!G4983, ""))</f>
        <v>Итого по подразделу: Содержание лестниц</v>
      </c>
      <c r="B4016" s="42"/>
      <c r="C4016" s="42"/>
      <c r="D4016" s="42"/>
      <c r="E4016" s="42"/>
      <c r="F4016" s="42"/>
      <c r="G4016" s="42"/>
      <c r="H4016" s="42"/>
      <c r="I4016" s="43">
        <f>SUM(AA3993:AA4015)</f>
        <v>430742.34</v>
      </c>
      <c r="J4016" s="44"/>
      <c r="K4016" s="47"/>
      <c r="L4016" s="38">
        <f>I4016</f>
        <v>430742.34</v>
      </c>
      <c r="M4016" s="2">
        <f>ROUND(I4016*$I$4874,2)</f>
        <v>311085.07</v>
      </c>
      <c r="N4016" s="2">
        <f>ROUND(M4016*1.2/105*100,2)</f>
        <v>355525.79</v>
      </c>
      <c r="O4016" s="2">
        <f>ROUND(N4016*0.05,2)</f>
        <v>17776.29</v>
      </c>
      <c r="P4016" s="2">
        <f>N4016+O4016</f>
        <v>373302.07999999996</v>
      </c>
      <c r="Q4016" s="3">
        <v>24</v>
      </c>
      <c r="S4016" s="2">
        <v>69054.92</v>
      </c>
    </row>
    <row r="4017" spans="1:33" x14ac:dyDescent="0.2">
      <c r="M4017"/>
      <c r="N4017"/>
      <c r="O4017"/>
      <c r="P4017"/>
      <c r="Q4017"/>
    </row>
    <row r="4018" spans="1:33" x14ac:dyDescent="0.2">
      <c r="M4018"/>
      <c r="N4018"/>
      <c r="O4018"/>
      <c r="P4018"/>
      <c r="Q4018"/>
    </row>
    <row r="4019" spans="1:33" ht="16.5" x14ac:dyDescent="0.25">
      <c r="A4019" s="29" t="str">
        <f>CONCATENATE("Подраздел: ",IF([1]Source!G5013&lt;&gt;"Новый подраздел", [1]Source!G5013, ""))</f>
        <v>Подраздел: Уход за подпорными стенками</v>
      </c>
      <c r="B4019" s="29"/>
      <c r="C4019" s="29"/>
      <c r="D4019" s="29"/>
      <c r="E4019" s="29"/>
      <c r="F4019" s="29"/>
      <c r="G4019" s="29"/>
      <c r="H4019" s="29"/>
      <c r="I4019" s="29"/>
      <c r="J4019" s="29"/>
      <c r="K4019" s="29"/>
      <c r="M4019"/>
      <c r="N4019"/>
      <c r="O4019"/>
      <c r="P4019"/>
      <c r="Q4019"/>
    </row>
    <row r="4020" spans="1:33" ht="14.25" x14ac:dyDescent="0.2">
      <c r="A4020" s="31">
        <v>502</v>
      </c>
      <c r="B4020" s="31" t="str">
        <f>[1]Source!F5017</f>
        <v>калькуляция</v>
      </c>
      <c r="C4020" s="31" t="str">
        <f>[1]Source!G5017</f>
        <v>Очистка от снега  подпорных стенок</v>
      </c>
      <c r="D4020" s="32" t="str">
        <f>[1]Source!H5017</f>
        <v>м2</v>
      </c>
      <c r="E4020" s="4">
        <f>[1]Source!I5017</f>
        <v>634.82000000000005</v>
      </c>
      <c r="F4020" s="33"/>
      <c r="G4020" s="34"/>
      <c r="H4020" s="4"/>
      <c r="I4020" s="4"/>
      <c r="J4020" s="33"/>
      <c r="K4020" s="33"/>
      <c r="M4020"/>
      <c r="N4020"/>
      <c r="O4020"/>
      <c r="P4020"/>
      <c r="Q4020"/>
      <c r="AB4020">
        <f>ROUND(([1]Source!BZ5017/100)*ROUND(([1]Source!AF5017*[1]Source!AV5017)*[1]Source!I5017, 2), 2)</f>
        <v>0</v>
      </c>
      <c r="AC4020">
        <f>[1]Source!X5017</f>
        <v>0</v>
      </c>
      <c r="AD4020">
        <f>ROUND(([1]Source!CA5017/100)*ROUND(([1]Source!AF5017*[1]Source!AV5017)*[1]Source!I5017, 2), 2)</f>
        <v>0</v>
      </c>
      <c r="AE4020">
        <f>[1]Source!Y5017</f>
        <v>0</v>
      </c>
      <c r="AF4020">
        <f>ROUND((175/100)*ROUND(([1]Source!AE5017*[1]Source!AV5017)*[1]Source!I5017, 2), 2)</f>
        <v>0</v>
      </c>
      <c r="AG4020">
        <f>ROUND((108/100)*ROUND([1]Source!CS5017*[1]Source!I5017, 2), 2)</f>
        <v>0</v>
      </c>
    </row>
    <row r="4021" spans="1:33" ht="14.25" x14ac:dyDescent="0.2">
      <c r="A4021" s="31"/>
      <c r="B4021" s="31"/>
      <c r="C4021" s="31" t="s">
        <v>34</v>
      </c>
      <c r="D4021" s="32"/>
      <c r="E4021" s="4"/>
      <c r="F4021" s="33">
        <f>[1]Source!AO5017</f>
        <v>3.45</v>
      </c>
      <c r="G4021" s="34" t="str">
        <f>[1]Source!DG5017</f>
        <v>)*1*10</v>
      </c>
      <c r="H4021" s="4">
        <f>[1]Source!AV5017</f>
        <v>1</v>
      </c>
      <c r="I4021" s="4">
        <f>IF([1]Source!BA5017&lt;&gt; 0, [1]Source!BA5017, 1)</f>
        <v>1</v>
      </c>
      <c r="J4021" s="33">
        <f>[1]Source!S5017</f>
        <v>21901.29</v>
      </c>
      <c r="K4021" s="33"/>
      <c r="M4021"/>
      <c r="N4021"/>
      <c r="O4021"/>
      <c r="P4021"/>
      <c r="Q4021"/>
    </row>
    <row r="4022" spans="1:33" ht="15" x14ac:dyDescent="0.25">
      <c r="A4022" s="35"/>
      <c r="B4022" s="35"/>
      <c r="C4022" s="35"/>
      <c r="D4022" s="35"/>
      <c r="E4022" s="35"/>
      <c r="F4022" s="35"/>
      <c r="G4022" s="35"/>
      <c r="H4022" s="35"/>
      <c r="I4022" s="36">
        <f>J4021</f>
        <v>21901.29</v>
      </c>
      <c r="J4022" s="36"/>
      <c r="K4022" s="37">
        <f>IF([1]Source!I5017&lt;&gt;0, ROUND(I4022/[1]Source!I5017, 2), 0)</f>
        <v>34.5</v>
      </c>
      <c r="M4022"/>
      <c r="N4022"/>
      <c r="O4022"/>
      <c r="P4022"/>
      <c r="Q4022"/>
      <c r="AA4022" s="38">
        <f>I4022</f>
        <v>21901.29</v>
      </c>
    </row>
    <row r="4023" spans="1:33" x14ac:dyDescent="0.2">
      <c r="M4023"/>
      <c r="N4023"/>
      <c r="O4023"/>
      <c r="P4023"/>
      <c r="Q4023"/>
    </row>
    <row r="4024" spans="1:33" ht="15" x14ac:dyDescent="0.25">
      <c r="A4024" s="42" t="str">
        <f>CONCATENATE("Итого по подразделу: ",IF([1]Source!G5019&lt;&gt;"Новый подраздел", [1]Source!G5019, ""))</f>
        <v>Итого по подразделу: Уход за подпорными стенками</v>
      </c>
      <c r="B4024" s="42"/>
      <c r="C4024" s="42"/>
      <c r="D4024" s="42"/>
      <c r="E4024" s="42"/>
      <c r="F4024" s="42"/>
      <c r="G4024" s="42"/>
      <c r="H4024" s="42"/>
      <c r="I4024" s="43">
        <f>SUM(AA4019:AA4023)</f>
        <v>21901.29</v>
      </c>
      <c r="J4024" s="44"/>
      <c r="K4024" s="47"/>
      <c r="L4024" s="38">
        <f>I4024</f>
        <v>21901.29</v>
      </c>
      <c r="M4024" s="2">
        <f>ROUND(I4024*$I$4874,2)</f>
        <v>15817.26</v>
      </c>
      <c r="N4024" s="2">
        <f>ROUND(M4024*1.2/105*100,2)</f>
        <v>18076.87</v>
      </c>
      <c r="O4024" s="2">
        <f>ROUND(N4024*0.05,2)</f>
        <v>903.84</v>
      </c>
      <c r="P4024" s="2">
        <f>N4024+O4024</f>
        <v>18980.71</v>
      </c>
      <c r="Q4024" s="3">
        <v>42</v>
      </c>
      <c r="S4024" s="2">
        <v>3796.14</v>
      </c>
    </row>
    <row r="4025" spans="1:33" x14ac:dyDescent="0.2">
      <c r="M4025"/>
      <c r="N4025"/>
      <c r="O4025"/>
      <c r="P4025"/>
      <c r="Q4025"/>
    </row>
    <row r="4026" spans="1:33" x14ac:dyDescent="0.2">
      <c r="M4026"/>
      <c r="N4026"/>
      <c r="O4026"/>
      <c r="P4026"/>
      <c r="Q4026"/>
    </row>
    <row r="4027" spans="1:33" ht="15" x14ac:dyDescent="0.25">
      <c r="A4027" s="42" t="str">
        <f>CONCATENATE("Итого по разделу: ",IF([1]Source!G5049&lt;&gt;"Новый раздел", [1]Source!G5049, ""))</f>
        <v>Итого по разделу: "Патриаршее подворье"</v>
      </c>
      <c r="B4027" s="42"/>
      <c r="C4027" s="42"/>
      <c r="D4027" s="42"/>
      <c r="E4027" s="42"/>
      <c r="F4027" s="42"/>
      <c r="G4027" s="42"/>
      <c r="H4027" s="42"/>
      <c r="I4027" s="43">
        <f>SUM(AA3991:AA4026)</f>
        <v>452643.63</v>
      </c>
      <c r="J4027" s="44"/>
      <c r="K4027" s="47"/>
      <c r="L4027" s="38">
        <f>I4027</f>
        <v>452643.63</v>
      </c>
      <c r="M4027" s="2">
        <f>M4016+M4024</f>
        <v>326902.33</v>
      </c>
      <c r="N4027" s="2">
        <f>N4016+N4024</f>
        <v>373602.66</v>
      </c>
      <c r="O4027" s="2">
        <f>ROUND(N4027*0.05,2)</f>
        <v>18680.13</v>
      </c>
      <c r="P4027" s="2">
        <f>SUM(P4016:P4024)</f>
        <v>392282.79</v>
      </c>
      <c r="Q4027" s="48"/>
      <c r="R4027">
        <v>2</v>
      </c>
    </row>
    <row r="4028" spans="1:33" x14ac:dyDescent="0.2">
      <c r="M4028"/>
      <c r="N4028"/>
      <c r="O4028"/>
      <c r="P4028"/>
      <c r="Q4028"/>
    </row>
    <row r="4029" spans="1:33" x14ac:dyDescent="0.2">
      <c r="M4029"/>
      <c r="N4029"/>
      <c r="O4029"/>
      <c r="P4029"/>
      <c r="Q4029"/>
    </row>
    <row r="4030" spans="1:33" ht="16.5" x14ac:dyDescent="0.25">
      <c r="A4030" s="29" t="str">
        <f>CONCATENATE("Раздел: ",IF([1]Source!G5079&lt;&gt;"Новый раздел", [1]Source!G5079, ""))</f>
        <v>Раздел: Содержание покрытий тротуара "  Храма зачатия правденной Анны" ( наб. Москворецкая, д.3)</v>
      </c>
      <c r="B4030" s="29"/>
      <c r="C4030" s="29"/>
      <c r="D4030" s="29"/>
      <c r="E4030" s="29"/>
      <c r="F4030" s="29"/>
      <c r="G4030" s="29"/>
      <c r="H4030" s="29"/>
      <c r="I4030" s="29"/>
      <c r="J4030" s="29"/>
      <c r="K4030" s="29"/>
      <c r="M4030"/>
      <c r="N4030"/>
      <c r="O4030"/>
      <c r="P4030"/>
      <c r="Q4030"/>
    </row>
    <row r="4031" spans="1:33" x14ac:dyDescent="0.2">
      <c r="M4031"/>
      <c r="N4031"/>
      <c r="O4031"/>
      <c r="P4031"/>
      <c r="Q4031"/>
    </row>
    <row r="4032" spans="1:33" ht="16.5" x14ac:dyDescent="0.25">
      <c r="A4032" s="29" t="str">
        <f>CONCATENATE("Подраздел: ",IF([1]Source!G5083&lt;&gt;"Новый подраздел", [1]Source!G5083, ""))</f>
        <v>Подраздел: Содержание покрытий.</v>
      </c>
      <c r="B4032" s="29"/>
      <c r="C4032" s="29"/>
      <c r="D4032" s="29"/>
      <c r="E4032" s="29"/>
      <c r="F4032" s="29"/>
      <c r="G4032" s="29"/>
      <c r="H4032" s="29"/>
      <c r="I4032" s="29"/>
      <c r="J4032" s="29"/>
      <c r="K4032" s="29"/>
      <c r="M4032"/>
      <c r="N4032"/>
      <c r="O4032"/>
      <c r="P4032"/>
      <c r="Q4032"/>
    </row>
    <row r="4033" spans="1:33" ht="28.5" x14ac:dyDescent="0.2">
      <c r="A4033" s="31">
        <v>503</v>
      </c>
      <c r="B4033" s="31" t="str">
        <f>[1]Source!F5087</f>
        <v>калькуляция</v>
      </c>
      <c r="C4033" s="31" t="str">
        <f>[1]Source!G5087</f>
        <v>Подметание дорожек  вручную ( S=100,3 м2)</v>
      </c>
      <c r="D4033" s="32" t="str">
        <f>[1]Source!H5087</f>
        <v>м2</v>
      </c>
      <c r="E4033" s="4">
        <f>[1]Source!I5087</f>
        <v>100.3</v>
      </c>
      <c r="F4033" s="33"/>
      <c r="G4033" s="34"/>
      <c r="H4033" s="4"/>
      <c r="I4033" s="4"/>
      <c r="J4033" s="33"/>
      <c r="K4033" s="33"/>
      <c r="M4033"/>
      <c r="N4033"/>
      <c r="O4033"/>
      <c r="P4033"/>
      <c r="Q4033"/>
      <c r="AB4033">
        <f>ROUND(([1]Source!BZ5087/100)*ROUND(([1]Source!AF5087*[1]Source!AV5087)*[1]Source!I5087, 2), 2)</f>
        <v>0</v>
      </c>
      <c r="AC4033">
        <f>[1]Source!X5087</f>
        <v>0</v>
      </c>
      <c r="AD4033">
        <f>ROUND(([1]Source!CA5087/100)*ROUND(([1]Source!AF5087*[1]Source!AV5087)*[1]Source!I5087, 2), 2)</f>
        <v>0</v>
      </c>
      <c r="AE4033">
        <f>[1]Source!Y5087</f>
        <v>0</v>
      </c>
      <c r="AF4033">
        <f>ROUND((175/100)*ROUND(([1]Source!AE5087*[1]Source!AV5087)*[1]Source!I5087, 2), 2)</f>
        <v>0</v>
      </c>
      <c r="AG4033">
        <f>ROUND((108/100)*ROUND([1]Source!CS5087*[1]Source!I5087, 2), 2)</f>
        <v>0</v>
      </c>
    </row>
    <row r="4034" spans="1:33" ht="14.25" x14ac:dyDescent="0.2">
      <c r="A4034" s="31"/>
      <c r="B4034" s="31"/>
      <c r="C4034" s="31" t="s">
        <v>34</v>
      </c>
      <c r="D4034" s="32"/>
      <c r="E4034" s="4"/>
      <c r="F4034" s="33">
        <f>[1]Source!AO5087</f>
        <v>1.32</v>
      </c>
      <c r="G4034" s="34" t="str">
        <f>[1]Source!DG5087</f>
        <v>)*4*164</v>
      </c>
      <c r="H4034" s="4">
        <f>[1]Source!AV5087</f>
        <v>1</v>
      </c>
      <c r="I4034" s="4">
        <f>IF([1]Source!BA5087&lt;&gt; 0, [1]Source!BA5087, 1)</f>
        <v>1</v>
      </c>
      <c r="J4034" s="33">
        <f>[1]Source!S5087</f>
        <v>86851.78</v>
      </c>
      <c r="K4034" s="33"/>
      <c r="M4034"/>
      <c r="N4034"/>
      <c r="O4034"/>
      <c r="P4034"/>
      <c r="Q4034"/>
    </row>
    <row r="4035" spans="1:33" ht="15" x14ac:dyDescent="0.25">
      <c r="A4035" s="35"/>
      <c r="B4035" s="35"/>
      <c r="C4035" s="35"/>
      <c r="D4035" s="35"/>
      <c r="E4035" s="35"/>
      <c r="F4035" s="35"/>
      <c r="G4035" s="35"/>
      <c r="H4035" s="35"/>
      <c r="I4035" s="36">
        <f>J4034</f>
        <v>86851.78</v>
      </c>
      <c r="J4035" s="36"/>
      <c r="K4035" s="37">
        <f>IF([1]Source!I5087&lt;&gt;0, ROUND(I4035/[1]Source!I5087, 2), 0)</f>
        <v>865.92</v>
      </c>
      <c r="M4035"/>
      <c r="N4035"/>
      <c r="O4035"/>
      <c r="P4035"/>
      <c r="Q4035"/>
      <c r="AA4035" s="38">
        <f>I4035</f>
        <v>86851.78</v>
      </c>
    </row>
    <row r="4036" spans="1:33" ht="42.75" x14ac:dyDescent="0.2">
      <c r="A4036" s="31">
        <v>504</v>
      </c>
      <c r="B4036" s="31" t="str">
        <f>[1]Source!F5088</f>
        <v>5.3-1102-8-1/1</v>
      </c>
      <c r="C4036" s="31" t="str">
        <f>[1]Source!G5088</f>
        <v>Уборка свежевыпавшего снега вручную толщиной слоя до 10 см ( 100,3 м2 * 0,8*0,7*0,5 = 28,08м2 )</v>
      </c>
      <c r="D4036" s="32" t="str">
        <f>[1]Source!H5088</f>
        <v>100 м2</v>
      </c>
      <c r="E4036" s="4">
        <f>[1]Source!I5088</f>
        <v>0.28079999999999999</v>
      </c>
      <c r="F4036" s="33"/>
      <c r="G4036" s="34"/>
      <c r="H4036" s="4"/>
      <c r="I4036" s="4"/>
      <c r="J4036" s="33"/>
      <c r="K4036" s="33"/>
      <c r="M4036"/>
      <c r="N4036"/>
      <c r="O4036"/>
      <c r="P4036"/>
      <c r="Q4036"/>
      <c r="AB4036">
        <f>ROUND(([1]Source!BZ5088/100)*ROUND(([1]Source!AF5088*[1]Source!AV5088)*[1]Source!I5088, 2), 2)</f>
        <v>21286.03</v>
      </c>
      <c r="AC4036">
        <f>[1]Source!X5088</f>
        <v>21286.03</v>
      </c>
      <c r="AD4036">
        <f>ROUND(([1]Source!CA5088/100)*ROUND(([1]Source!AF5088*[1]Source!AV5088)*[1]Source!I5088, 2), 2)</f>
        <v>3040.86</v>
      </c>
      <c r="AE4036">
        <f>[1]Source!Y5088</f>
        <v>3040.86</v>
      </c>
      <c r="AF4036">
        <f>ROUND((175/100)*ROUND(([1]Source!AE5088*[1]Source!AV5088)*[1]Source!I5088, 2), 2)</f>
        <v>0</v>
      </c>
      <c r="AG4036">
        <f>ROUND((108/100)*ROUND([1]Source!CS5088*[1]Source!I5088, 2), 2)</f>
        <v>0</v>
      </c>
    </row>
    <row r="4037" spans="1:33" x14ac:dyDescent="0.2">
      <c r="C4037" s="40" t="str">
        <f>"Объем: "&amp;[1]Source!I5088&amp;"=28,08/"&amp;"100"</f>
        <v>Объем: 0,2808=28,08/100</v>
      </c>
      <c r="M4037"/>
      <c r="N4037"/>
      <c r="O4037"/>
      <c r="P4037"/>
      <c r="Q4037"/>
    </row>
    <row r="4038" spans="1:33" ht="14.25" x14ac:dyDescent="0.2">
      <c r="A4038" s="31"/>
      <c r="B4038" s="31"/>
      <c r="C4038" s="31" t="s">
        <v>34</v>
      </c>
      <c r="D4038" s="32"/>
      <c r="E4038" s="4"/>
      <c r="F4038" s="33">
        <f>[1]Source!AO5088</f>
        <v>161.15</v>
      </c>
      <c r="G4038" s="34" t="str">
        <f>[1]Source!DG5088</f>
        <v>*4*168</v>
      </c>
      <c r="H4038" s="4">
        <f>[1]Source!AV5088</f>
        <v>1</v>
      </c>
      <c r="I4038" s="4">
        <f>IF([1]Source!BA5088&lt;&gt; 0, [1]Source!BA5088, 1)</f>
        <v>1</v>
      </c>
      <c r="J4038" s="33">
        <f>[1]Source!S5088</f>
        <v>30408.62</v>
      </c>
      <c r="K4038" s="33"/>
      <c r="M4038"/>
      <c r="N4038"/>
      <c r="O4038"/>
      <c r="P4038"/>
      <c r="Q4038"/>
    </row>
    <row r="4039" spans="1:33" ht="14.25" x14ac:dyDescent="0.2">
      <c r="A4039" s="31"/>
      <c r="B4039" s="31"/>
      <c r="C4039" s="31" t="s">
        <v>40</v>
      </c>
      <c r="D4039" s="32" t="s">
        <v>39</v>
      </c>
      <c r="E4039" s="4">
        <f>[1]Source!AT5088</f>
        <v>70</v>
      </c>
      <c r="F4039" s="33"/>
      <c r="G4039" s="34"/>
      <c r="H4039" s="4"/>
      <c r="I4039" s="4"/>
      <c r="J4039" s="33">
        <f>SUM(AC4036:AC4038)</f>
        <v>21286.03</v>
      </c>
      <c r="K4039" s="33"/>
      <c r="M4039"/>
      <c r="N4039"/>
      <c r="O4039"/>
      <c r="P4039"/>
      <c r="Q4039"/>
    </row>
    <row r="4040" spans="1:33" ht="14.25" x14ac:dyDescent="0.2">
      <c r="A4040" s="31"/>
      <c r="B4040" s="31"/>
      <c r="C4040" s="31" t="s">
        <v>41</v>
      </c>
      <c r="D4040" s="32" t="s">
        <v>39</v>
      </c>
      <c r="E4040" s="4">
        <f>[1]Source!AU5088</f>
        <v>10</v>
      </c>
      <c r="F4040" s="33"/>
      <c r="G4040" s="34"/>
      <c r="H4040" s="4"/>
      <c r="I4040" s="4"/>
      <c r="J4040" s="33">
        <f>SUM(AE4036:AE4039)</f>
        <v>3040.86</v>
      </c>
      <c r="K4040" s="33"/>
      <c r="M4040"/>
      <c r="N4040"/>
      <c r="O4040"/>
      <c r="P4040"/>
      <c r="Q4040"/>
    </row>
    <row r="4041" spans="1:33" ht="14.25" x14ac:dyDescent="0.2">
      <c r="A4041" s="31"/>
      <c r="B4041" s="31"/>
      <c r="C4041" s="31" t="s">
        <v>42</v>
      </c>
      <c r="D4041" s="32" t="s">
        <v>43</v>
      </c>
      <c r="E4041" s="4">
        <f>[1]Source!AQ5088</f>
        <v>0.65</v>
      </c>
      <c r="F4041" s="33"/>
      <c r="G4041" s="34" t="str">
        <f>[1]Source!DI5088</f>
        <v>*4*168</v>
      </c>
      <c r="H4041" s="4">
        <f>[1]Source!AV5088</f>
        <v>1</v>
      </c>
      <c r="I4041" s="4"/>
      <c r="J4041" s="33"/>
      <c r="K4041" s="33">
        <f>[1]Source!U5088</f>
        <v>122.65344</v>
      </c>
      <c r="M4041"/>
      <c r="N4041"/>
      <c r="O4041"/>
      <c r="P4041"/>
      <c r="Q4041"/>
    </row>
    <row r="4042" spans="1:33" ht="15" x14ac:dyDescent="0.25">
      <c r="A4042" s="35"/>
      <c r="B4042" s="35"/>
      <c r="C4042" s="35"/>
      <c r="D4042" s="35"/>
      <c r="E4042" s="35"/>
      <c r="F4042" s="35"/>
      <c r="G4042" s="35"/>
      <c r="H4042" s="35"/>
      <c r="I4042" s="36">
        <f>J4038+J4039+J4040</f>
        <v>54735.509999999995</v>
      </c>
      <c r="J4042" s="36"/>
      <c r="K4042" s="37">
        <f>IF([1]Source!I5088&lt;&gt;0, ROUND(I4042/[1]Source!I5088, 2), 0)</f>
        <v>194927.03</v>
      </c>
      <c r="M4042"/>
      <c r="N4042"/>
      <c r="O4042"/>
      <c r="P4042"/>
      <c r="Q4042"/>
      <c r="AA4042" s="38">
        <f>I4042</f>
        <v>54735.509999999995</v>
      </c>
    </row>
    <row r="4043" spans="1:33" ht="42.75" x14ac:dyDescent="0.2">
      <c r="A4043" s="31">
        <v>505</v>
      </c>
      <c r="B4043" s="31" t="str">
        <f>[1]Source!F5089</f>
        <v>5.3-1102-8-3/1</v>
      </c>
      <c r="C4043" s="31" t="str">
        <f>[1]Source!G5089</f>
        <v>Уборка слежавшегося снега вручную(S=100,3м2*0,8*0,7*0,5=28,08м2)</v>
      </c>
      <c r="D4043" s="32" t="str">
        <f>[1]Source!H5089</f>
        <v>100 м2</v>
      </c>
      <c r="E4043" s="4">
        <f>[1]Source!I5089</f>
        <v>0.28079999999999999</v>
      </c>
      <c r="F4043" s="33"/>
      <c r="G4043" s="34"/>
      <c r="H4043" s="4"/>
      <c r="I4043" s="4"/>
      <c r="J4043" s="33"/>
      <c r="K4043" s="33"/>
      <c r="M4043"/>
      <c r="N4043"/>
      <c r="O4043"/>
      <c r="P4043"/>
      <c r="Q4043"/>
      <c r="AB4043">
        <f>ROUND(([1]Source!BZ5089/100)*ROUND(([1]Source!AF5089*[1]Source!AV5089)*[1]Source!I5089, 2), 2)</f>
        <v>12526.27</v>
      </c>
      <c r="AC4043">
        <f>[1]Source!X5089</f>
        <v>12526.27</v>
      </c>
      <c r="AD4043">
        <f>ROUND(([1]Source!CA5089/100)*ROUND(([1]Source!AF5089*[1]Source!AV5089)*[1]Source!I5089, 2), 2)</f>
        <v>1789.47</v>
      </c>
      <c r="AE4043">
        <f>[1]Source!Y5089</f>
        <v>1789.47</v>
      </c>
      <c r="AF4043">
        <f>ROUND((175/100)*ROUND(([1]Source!AE5089*[1]Source!AV5089)*[1]Source!I5089, 2), 2)</f>
        <v>0</v>
      </c>
      <c r="AG4043">
        <f>ROUND((108/100)*ROUND([1]Source!CS5089*[1]Source!I5089, 2), 2)</f>
        <v>0</v>
      </c>
    </row>
    <row r="4044" spans="1:33" x14ac:dyDescent="0.2">
      <c r="C4044" s="40" t="str">
        <f>"Объем: "&amp;[1]Source!I5089&amp;"=28,08/"&amp;"100"</f>
        <v>Объем: 0,2808=28,08/100</v>
      </c>
      <c r="M4044"/>
      <c r="N4044"/>
      <c r="O4044"/>
      <c r="P4044"/>
      <c r="Q4044"/>
    </row>
    <row r="4045" spans="1:33" ht="14.25" x14ac:dyDescent="0.2">
      <c r="A4045" s="31"/>
      <c r="B4045" s="31"/>
      <c r="C4045" s="31" t="s">
        <v>34</v>
      </c>
      <c r="D4045" s="32"/>
      <c r="E4045" s="4"/>
      <c r="F4045" s="33">
        <f>[1]Source!AO5089</f>
        <v>379.33</v>
      </c>
      <c r="G4045" s="34" t="str">
        <f>[1]Source!DG5089</f>
        <v>)*1*168</v>
      </c>
      <c r="H4045" s="4">
        <f>[1]Source!AV5089</f>
        <v>1</v>
      </c>
      <c r="I4045" s="4">
        <f>IF([1]Source!BA5089&lt;&gt; 0, [1]Source!BA5089, 1)</f>
        <v>1</v>
      </c>
      <c r="J4045" s="33">
        <f>[1]Source!S5089</f>
        <v>17894.669999999998</v>
      </c>
      <c r="K4045" s="33"/>
      <c r="M4045"/>
      <c r="N4045"/>
      <c r="O4045"/>
      <c r="P4045"/>
      <c r="Q4045"/>
    </row>
    <row r="4046" spans="1:33" ht="14.25" x14ac:dyDescent="0.2">
      <c r="A4046" s="31"/>
      <c r="B4046" s="31"/>
      <c r="C4046" s="31" t="s">
        <v>40</v>
      </c>
      <c r="D4046" s="32" t="s">
        <v>39</v>
      </c>
      <c r="E4046" s="4">
        <f>[1]Source!AT5089</f>
        <v>70</v>
      </c>
      <c r="F4046" s="33"/>
      <c r="G4046" s="34"/>
      <c r="H4046" s="4"/>
      <c r="I4046" s="4"/>
      <c r="J4046" s="33">
        <f>SUM(AC4043:AC4045)</f>
        <v>12526.27</v>
      </c>
      <c r="K4046" s="33"/>
      <c r="M4046"/>
      <c r="N4046"/>
      <c r="O4046"/>
      <c r="P4046"/>
      <c r="Q4046"/>
    </row>
    <row r="4047" spans="1:33" ht="14.25" x14ac:dyDescent="0.2">
      <c r="A4047" s="31"/>
      <c r="B4047" s="31"/>
      <c r="C4047" s="31" t="s">
        <v>41</v>
      </c>
      <c r="D4047" s="32" t="s">
        <v>39</v>
      </c>
      <c r="E4047" s="4">
        <f>[1]Source!AU5089</f>
        <v>10</v>
      </c>
      <c r="F4047" s="33"/>
      <c r="G4047" s="34"/>
      <c r="H4047" s="4"/>
      <c r="I4047" s="4"/>
      <c r="J4047" s="33">
        <f>SUM(AE4043:AE4046)</f>
        <v>1789.47</v>
      </c>
      <c r="K4047" s="33"/>
      <c r="M4047"/>
      <c r="N4047"/>
      <c r="O4047"/>
      <c r="P4047"/>
      <c r="Q4047"/>
    </row>
    <row r="4048" spans="1:33" ht="14.25" x14ac:dyDescent="0.2">
      <c r="A4048" s="31"/>
      <c r="B4048" s="31"/>
      <c r="C4048" s="31" t="s">
        <v>42</v>
      </c>
      <c r="D4048" s="32" t="s">
        <v>43</v>
      </c>
      <c r="E4048" s="4">
        <f>[1]Source!AQ5089</f>
        <v>1.53</v>
      </c>
      <c r="F4048" s="33"/>
      <c r="G4048" s="34" t="str">
        <f>[1]Source!DI5089</f>
        <v>)*1*168</v>
      </c>
      <c r="H4048" s="4">
        <f>[1]Source!AV5089</f>
        <v>1</v>
      </c>
      <c r="I4048" s="4"/>
      <c r="J4048" s="33"/>
      <c r="K4048" s="33">
        <f>[1]Source!U5089</f>
        <v>72.176832000000005</v>
      </c>
      <c r="M4048"/>
      <c r="N4048"/>
      <c r="O4048"/>
      <c r="P4048"/>
      <c r="Q4048"/>
    </row>
    <row r="4049" spans="1:33" ht="15" x14ac:dyDescent="0.25">
      <c r="A4049" s="35"/>
      <c r="B4049" s="35"/>
      <c r="C4049" s="35"/>
      <c r="D4049" s="35"/>
      <c r="E4049" s="35"/>
      <c r="F4049" s="35"/>
      <c r="G4049" s="35"/>
      <c r="H4049" s="35"/>
      <c r="I4049" s="36">
        <f>J4045+J4046+J4047</f>
        <v>32210.41</v>
      </c>
      <c r="J4049" s="36"/>
      <c r="K4049" s="37">
        <f>IF([1]Source!I5089&lt;&gt;0, ROUND(I4049/[1]Source!I5089, 2), 0)</f>
        <v>114709.44</v>
      </c>
      <c r="M4049"/>
      <c r="N4049"/>
      <c r="O4049"/>
      <c r="P4049"/>
      <c r="Q4049"/>
      <c r="AA4049" s="38">
        <f>I4049</f>
        <v>32210.41</v>
      </c>
    </row>
    <row r="4050" spans="1:33" ht="42.75" x14ac:dyDescent="0.2">
      <c r="A4050" s="31">
        <v>506</v>
      </c>
      <c r="B4050" s="31" t="str">
        <f>[1]Source!F5090</f>
        <v>5.3-1102-8-1/1</v>
      </c>
      <c r="C4050" s="31" t="str">
        <f>[1]Source!G5090</f>
        <v>Уборка свежевыпавшего снега вручную толщиной слоя до 10 см ( 100,3м2 * 0,8*0,3*0,5 =  12,04 м2 )</v>
      </c>
      <c r="D4050" s="32" t="str">
        <f>[1]Source!H5090</f>
        <v>100 м2</v>
      </c>
      <c r="E4050" s="4">
        <f>[1]Source!I5090</f>
        <v>0.12039999999999999</v>
      </c>
      <c r="F4050" s="33"/>
      <c r="G4050" s="34"/>
      <c r="H4050" s="4"/>
      <c r="I4050" s="4"/>
      <c r="J4050" s="33"/>
      <c r="K4050" s="33"/>
      <c r="M4050"/>
      <c r="N4050"/>
      <c r="O4050"/>
      <c r="P4050"/>
      <c r="Q4050"/>
      <c r="AB4050">
        <f>ROUND(([1]Source!BZ5090/100)*ROUND(([1]Source!AF5090*[1]Source!AV5090)*[1]Source!I5090, 2), 2)</f>
        <v>9126.92</v>
      </c>
      <c r="AC4050">
        <f>[1]Source!X5090</f>
        <v>9126.92</v>
      </c>
      <c r="AD4050">
        <f>ROUND(([1]Source!CA5090/100)*ROUND(([1]Source!AF5090*[1]Source!AV5090)*[1]Source!I5090, 2), 2)</f>
        <v>1303.8499999999999</v>
      </c>
      <c r="AE4050">
        <f>[1]Source!Y5090</f>
        <v>1303.8499999999999</v>
      </c>
      <c r="AF4050">
        <f>ROUND((175/100)*ROUND(([1]Source!AE5090*[1]Source!AV5090)*[1]Source!I5090, 2), 2)</f>
        <v>0</v>
      </c>
      <c r="AG4050">
        <f>ROUND((108/100)*ROUND([1]Source!CS5090*[1]Source!I5090, 2), 2)</f>
        <v>0</v>
      </c>
    </row>
    <row r="4051" spans="1:33" x14ac:dyDescent="0.2">
      <c r="C4051" s="40" t="str">
        <f>"Объем: "&amp;[1]Source!I5090&amp;"=12,04/"&amp;"100"</f>
        <v>Объем: 0,1204=12,04/100</v>
      </c>
      <c r="M4051"/>
      <c r="N4051"/>
      <c r="O4051"/>
      <c r="P4051"/>
      <c r="Q4051"/>
    </row>
    <row r="4052" spans="1:33" ht="14.25" x14ac:dyDescent="0.2">
      <c r="A4052" s="31"/>
      <c r="B4052" s="31"/>
      <c r="C4052" s="31" t="s">
        <v>34</v>
      </c>
      <c r="D4052" s="32"/>
      <c r="E4052" s="4"/>
      <c r="F4052" s="33">
        <f>[1]Source!AO5090</f>
        <v>161.15</v>
      </c>
      <c r="G4052" s="34" t="str">
        <f>[1]Source!DG5090</f>
        <v>*4*168</v>
      </c>
      <c r="H4052" s="4">
        <f>[1]Source!AV5090</f>
        <v>1</v>
      </c>
      <c r="I4052" s="4">
        <f>IF([1]Source!BA5090&lt;&gt; 0, [1]Source!BA5090, 1)</f>
        <v>1</v>
      </c>
      <c r="J4052" s="33">
        <f>[1]Source!S5090</f>
        <v>13038.45</v>
      </c>
      <c r="K4052" s="33"/>
      <c r="M4052"/>
      <c r="N4052"/>
      <c r="O4052"/>
      <c r="P4052"/>
      <c r="Q4052"/>
    </row>
    <row r="4053" spans="1:33" ht="14.25" x14ac:dyDescent="0.2">
      <c r="A4053" s="31"/>
      <c r="B4053" s="31"/>
      <c r="C4053" s="31" t="s">
        <v>40</v>
      </c>
      <c r="D4053" s="32" t="s">
        <v>39</v>
      </c>
      <c r="E4053" s="4">
        <f>[1]Source!AT5090</f>
        <v>70</v>
      </c>
      <c r="F4053" s="33"/>
      <c r="G4053" s="34"/>
      <c r="H4053" s="4"/>
      <c r="I4053" s="4"/>
      <c r="J4053" s="33">
        <f>SUM(AC4050:AC4052)</f>
        <v>9126.92</v>
      </c>
      <c r="K4053" s="33"/>
      <c r="M4053"/>
      <c r="N4053"/>
      <c r="O4053"/>
      <c r="P4053"/>
      <c r="Q4053"/>
    </row>
    <row r="4054" spans="1:33" ht="14.25" x14ac:dyDescent="0.2">
      <c r="A4054" s="31"/>
      <c r="B4054" s="31"/>
      <c r="C4054" s="31" t="s">
        <v>41</v>
      </c>
      <c r="D4054" s="32" t="s">
        <v>39</v>
      </c>
      <c r="E4054" s="4">
        <f>[1]Source!AU5090</f>
        <v>10</v>
      </c>
      <c r="F4054" s="33"/>
      <c r="G4054" s="34"/>
      <c r="H4054" s="4"/>
      <c r="I4054" s="4"/>
      <c r="J4054" s="33">
        <f>SUM(AE4050:AE4053)</f>
        <v>1303.8499999999999</v>
      </c>
      <c r="K4054" s="33"/>
      <c r="M4054"/>
      <c r="N4054"/>
      <c r="O4054"/>
      <c r="P4054"/>
      <c r="Q4054"/>
    </row>
    <row r="4055" spans="1:33" ht="14.25" x14ac:dyDescent="0.2">
      <c r="A4055" s="31"/>
      <c r="B4055" s="31"/>
      <c r="C4055" s="31" t="s">
        <v>42</v>
      </c>
      <c r="D4055" s="32" t="s">
        <v>43</v>
      </c>
      <c r="E4055" s="4">
        <f>[1]Source!AQ5090</f>
        <v>0.65</v>
      </c>
      <c r="F4055" s="33"/>
      <c r="G4055" s="34" t="str">
        <f>[1]Source!DI5090</f>
        <v>*4*168</v>
      </c>
      <c r="H4055" s="4">
        <f>[1]Source!AV5090</f>
        <v>1</v>
      </c>
      <c r="I4055" s="4"/>
      <c r="J4055" s="33"/>
      <c r="K4055" s="33">
        <f>[1]Source!U5090</f>
        <v>52.590719999999997</v>
      </c>
      <c r="M4055"/>
      <c r="N4055"/>
      <c r="O4055"/>
      <c r="P4055"/>
      <c r="Q4055"/>
    </row>
    <row r="4056" spans="1:33" ht="15" x14ac:dyDescent="0.25">
      <c r="A4056" s="35"/>
      <c r="B4056" s="35"/>
      <c r="C4056" s="35"/>
      <c r="D4056" s="35"/>
      <c r="E4056" s="35"/>
      <c r="F4056" s="35"/>
      <c r="G4056" s="35"/>
      <c r="H4056" s="35"/>
      <c r="I4056" s="36">
        <f>J4052+J4053+J4054</f>
        <v>23469.22</v>
      </c>
      <c r="J4056" s="36"/>
      <c r="K4056" s="37">
        <f>IF([1]Source!I5090&lt;&gt;0, ROUND(I4056/[1]Source!I5090, 2), 0)</f>
        <v>194927.08</v>
      </c>
      <c r="M4056"/>
      <c r="N4056"/>
      <c r="O4056"/>
      <c r="P4056"/>
      <c r="Q4056"/>
      <c r="AA4056" s="38">
        <f>I4056</f>
        <v>23469.22</v>
      </c>
    </row>
    <row r="4057" spans="1:33" ht="57" x14ac:dyDescent="0.2">
      <c r="A4057" s="31">
        <v>507</v>
      </c>
      <c r="B4057" s="31" t="str">
        <f>[1]Source!F5091</f>
        <v>5.3-1102-8-2/1</v>
      </c>
      <c r="C4057" s="31" t="str">
        <f>[1]Source!G5091</f>
        <v>Уборка свежевыпавшего снега вручную, добавлять на каждые следующие 10 см увеличения толщины слоя</v>
      </c>
      <c r="D4057" s="32" t="str">
        <f>[1]Source!H5091</f>
        <v>100 м2</v>
      </c>
      <c r="E4057" s="4">
        <f>[1]Source!I5091</f>
        <v>0.12039999999999999</v>
      </c>
      <c r="F4057" s="33"/>
      <c r="G4057" s="34"/>
      <c r="H4057" s="4"/>
      <c r="I4057" s="4"/>
      <c r="J4057" s="33"/>
      <c r="K4057" s="33"/>
      <c r="M4057"/>
      <c r="N4057"/>
      <c r="O4057"/>
      <c r="P4057"/>
      <c r="Q4057"/>
      <c r="AB4057">
        <f>ROUND(([1]Source!BZ5091/100)*ROUND(([1]Source!AF5091*[1]Source!AV5091)*[1]Source!I5091, 2), 2)</f>
        <v>6599.81</v>
      </c>
      <c r="AC4057">
        <f>[1]Source!X5091</f>
        <v>6599.81</v>
      </c>
      <c r="AD4057">
        <f>ROUND(([1]Source!CA5091/100)*ROUND(([1]Source!AF5091*[1]Source!AV5091)*[1]Source!I5091, 2), 2)</f>
        <v>942.83</v>
      </c>
      <c r="AE4057">
        <f>[1]Source!Y5091</f>
        <v>942.83</v>
      </c>
      <c r="AF4057">
        <f>ROUND((175/100)*ROUND(([1]Source!AE5091*[1]Source!AV5091)*[1]Source!I5091, 2), 2)</f>
        <v>0</v>
      </c>
      <c r="AG4057">
        <f>ROUND((108/100)*ROUND([1]Source!CS5091*[1]Source!I5091, 2), 2)</f>
        <v>0</v>
      </c>
    </row>
    <row r="4058" spans="1:33" x14ac:dyDescent="0.2">
      <c r="C4058" s="40" t="str">
        <f>"Объем: "&amp;[1]Source!I5091&amp;"=12,04/"&amp;"100"</f>
        <v>Объем: 0,1204=12,04/100</v>
      </c>
      <c r="M4058"/>
      <c r="N4058"/>
      <c r="O4058"/>
      <c r="P4058"/>
      <c r="Q4058"/>
    </row>
    <row r="4059" spans="1:33" ht="14.25" x14ac:dyDescent="0.2">
      <c r="A4059" s="31"/>
      <c r="B4059" s="31"/>
      <c r="C4059" s="31" t="s">
        <v>34</v>
      </c>
      <c r="D4059" s="32"/>
      <c r="E4059" s="4"/>
      <c r="F4059" s="33">
        <f>[1]Source!AO5091</f>
        <v>116.53</v>
      </c>
      <c r="G4059" s="34" t="str">
        <f>[1]Source!DG5091</f>
        <v>*4*168</v>
      </c>
      <c r="H4059" s="4">
        <f>[1]Source!AV5091</f>
        <v>1</v>
      </c>
      <c r="I4059" s="4">
        <f>IF([1]Source!BA5091&lt;&gt; 0, [1]Source!BA5091, 1)</f>
        <v>1</v>
      </c>
      <c r="J4059" s="33">
        <f>[1]Source!S5091</f>
        <v>9428.2999999999993</v>
      </c>
      <c r="K4059" s="33"/>
      <c r="M4059"/>
      <c r="N4059"/>
      <c r="O4059"/>
      <c r="P4059"/>
      <c r="Q4059"/>
    </row>
    <row r="4060" spans="1:33" ht="14.25" x14ac:dyDescent="0.2">
      <c r="A4060" s="31"/>
      <c r="B4060" s="31"/>
      <c r="C4060" s="31" t="s">
        <v>40</v>
      </c>
      <c r="D4060" s="32" t="s">
        <v>39</v>
      </c>
      <c r="E4060" s="4">
        <f>[1]Source!AT5091</f>
        <v>70</v>
      </c>
      <c r="F4060" s="33"/>
      <c r="G4060" s="34"/>
      <c r="H4060" s="4"/>
      <c r="I4060" s="4"/>
      <c r="J4060" s="33">
        <f>SUM(AC4057:AC4059)</f>
        <v>6599.81</v>
      </c>
      <c r="K4060" s="33"/>
      <c r="M4060"/>
      <c r="N4060"/>
      <c r="O4060"/>
      <c r="P4060"/>
      <c r="Q4060"/>
    </row>
    <row r="4061" spans="1:33" ht="14.25" x14ac:dyDescent="0.2">
      <c r="A4061" s="31"/>
      <c r="B4061" s="31"/>
      <c r="C4061" s="31" t="s">
        <v>41</v>
      </c>
      <c r="D4061" s="32" t="s">
        <v>39</v>
      </c>
      <c r="E4061" s="4">
        <f>[1]Source!AU5091</f>
        <v>10</v>
      </c>
      <c r="F4061" s="33"/>
      <c r="G4061" s="34"/>
      <c r="H4061" s="4"/>
      <c r="I4061" s="4"/>
      <c r="J4061" s="33">
        <f>SUM(AE4057:AE4060)</f>
        <v>942.83</v>
      </c>
      <c r="K4061" s="33"/>
      <c r="M4061"/>
      <c r="N4061"/>
      <c r="O4061"/>
      <c r="P4061"/>
      <c r="Q4061"/>
    </row>
    <row r="4062" spans="1:33" ht="14.25" x14ac:dyDescent="0.2">
      <c r="A4062" s="31"/>
      <c r="B4062" s="31"/>
      <c r="C4062" s="31" t="s">
        <v>42</v>
      </c>
      <c r="D4062" s="32" t="s">
        <v>43</v>
      </c>
      <c r="E4062" s="4">
        <f>[1]Source!AQ5091</f>
        <v>0.47</v>
      </c>
      <c r="F4062" s="33"/>
      <c r="G4062" s="34" t="str">
        <f>[1]Source!DI5091</f>
        <v>*4*168</v>
      </c>
      <c r="H4062" s="4">
        <f>[1]Source!AV5091</f>
        <v>1</v>
      </c>
      <c r="I4062" s="4"/>
      <c r="J4062" s="33"/>
      <c r="K4062" s="33">
        <f>[1]Source!U5091</f>
        <v>38.027135999999992</v>
      </c>
      <c r="M4062"/>
      <c r="N4062"/>
      <c r="O4062"/>
      <c r="P4062"/>
      <c r="Q4062"/>
    </row>
    <row r="4063" spans="1:33" ht="15" x14ac:dyDescent="0.25">
      <c r="A4063" s="35"/>
      <c r="B4063" s="35"/>
      <c r="C4063" s="35"/>
      <c r="D4063" s="35"/>
      <c r="E4063" s="35"/>
      <c r="F4063" s="35"/>
      <c r="G4063" s="35"/>
      <c r="H4063" s="35"/>
      <c r="I4063" s="36">
        <f>J4059+J4060+J4061</f>
        <v>16970.940000000002</v>
      </c>
      <c r="J4063" s="36"/>
      <c r="K4063" s="37">
        <f>IF([1]Source!I5091&lt;&gt;0, ROUND(I4063/[1]Source!I5091, 2), 0)</f>
        <v>140954.65</v>
      </c>
      <c r="M4063"/>
      <c r="N4063"/>
      <c r="O4063"/>
      <c r="P4063"/>
      <c r="Q4063"/>
      <c r="AA4063" s="38">
        <f>I4063</f>
        <v>16970.940000000002</v>
      </c>
    </row>
    <row r="4064" spans="1:33" ht="57" x14ac:dyDescent="0.2">
      <c r="A4064" s="31">
        <v>508</v>
      </c>
      <c r="B4064" s="31" t="str">
        <f>[1]Source!F5092</f>
        <v>5.3-1102-24-1/1</v>
      </c>
      <c r="C4064" s="31" t="str">
        <f>[1]Source!G5092</f>
        <v>Уборка свежевыпавшего снега ручной самоходной машиной - ширина захвата 120 см ( S=100,3 м2*0,2=20,06м2)</v>
      </c>
      <c r="D4064" s="32" t="str">
        <f>[1]Source!H5092</f>
        <v>100 м2</v>
      </c>
      <c r="E4064" s="4">
        <f>[1]Source!I5092</f>
        <v>0.2006</v>
      </c>
      <c r="F4064" s="33"/>
      <c r="G4064" s="34"/>
      <c r="H4064" s="4"/>
      <c r="I4064" s="4"/>
      <c r="J4064" s="33"/>
      <c r="K4064" s="33"/>
      <c r="M4064"/>
      <c r="N4064"/>
      <c r="O4064"/>
      <c r="P4064"/>
      <c r="Q4064"/>
      <c r="AB4064">
        <f>ROUND(([1]Source!BZ5092/100)*ROUND(([1]Source!AF5092*[1]Source!AV5092)*[1]Source!I5092, 2), 2)</f>
        <v>9158.7999999999993</v>
      </c>
      <c r="AC4064">
        <f>[1]Source!X5092</f>
        <v>9158.7999999999993</v>
      </c>
      <c r="AD4064">
        <f>ROUND(([1]Source!CA5092/100)*ROUND(([1]Source!AF5092*[1]Source!AV5092)*[1]Source!I5092, 2), 2)</f>
        <v>1308.4000000000001</v>
      </c>
      <c r="AE4064">
        <f>[1]Source!Y5092</f>
        <v>1308.4000000000001</v>
      </c>
      <c r="AF4064">
        <f>ROUND((175/100)*ROUND(([1]Source!AE5092*[1]Source!AV5092)*[1]Source!I5092, 2), 2)</f>
        <v>21.23</v>
      </c>
      <c r="AG4064">
        <f>ROUND((108/100)*ROUND([1]Source!CS5092*[1]Source!I5092, 2), 2)</f>
        <v>13.1</v>
      </c>
    </row>
    <row r="4065" spans="1:33" x14ac:dyDescent="0.2">
      <c r="C4065" s="40" t="str">
        <f>"Объем: "&amp;[1]Source!I5092&amp;"=20,06/"&amp;"100"</f>
        <v>Объем: 0,2006=20,06/100</v>
      </c>
      <c r="M4065"/>
      <c r="N4065"/>
      <c r="O4065"/>
      <c r="P4065"/>
      <c r="Q4065"/>
    </row>
    <row r="4066" spans="1:33" ht="14.25" x14ac:dyDescent="0.2">
      <c r="A4066" s="31"/>
      <c r="B4066" s="31"/>
      <c r="C4066" s="31" t="s">
        <v>34</v>
      </c>
      <c r="D4066" s="32"/>
      <c r="E4066" s="4"/>
      <c r="F4066" s="33">
        <f>[1]Source!AO5092</f>
        <v>97.06</v>
      </c>
      <c r="G4066" s="34" t="str">
        <f>[1]Source!DG5092</f>
        <v>*4*168</v>
      </c>
      <c r="H4066" s="4">
        <f>[1]Source!AV5092</f>
        <v>1</v>
      </c>
      <c r="I4066" s="4">
        <f>IF([1]Source!BA5092&lt;&gt; 0, [1]Source!BA5092, 1)</f>
        <v>1</v>
      </c>
      <c r="J4066" s="33">
        <f>[1]Source!S5092</f>
        <v>13084</v>
      </c>
      <c r="K4066" s="33"/>
      <c r="M4066"/>
      <c r="N4066"/>
      <c r="O4066"/>
      <c r="P4066"/>
      <c r="Q4066"/>
    </row>
    <row r="4067" spans="1:33" ht="14.25" x14ac:dyDescent="0.2">
      <c r="A4067" s="31"/>
      <c r="B4067" s="31"/>
      <c r="C4067" s="31" t="s">
        <v>33</v>
      </c>
      <c r="D4067" s="32"/>
      <c r="E4067" s="4"/>
      <c r="F4067" s="33">
        <f>[1]Source!AM5092</f>
        <v>33.97</v>
      </c>
      <c r="G4067" s="34" t="str">
        <f>[1]Source!DE5092</f>
        <v>*4*168</v>
      </c>
      <c r="H4067" s="4">
        <f>[1]Source!AV5092</f>
        <v>1</v>
      </c>
      <c r="I4067" s="4">
        <f>IF([1]Source!BB5092&lt;&gt; 0, [1]Source!BB5092, 1)</f>
        <v>1</v>
      </c>
      <c r="J4067" s="33">
        <f>[1]Source!Q5092</f>
        <v>4579.26</v>
      </c>
      <c r="K4067" s="33"/>
      <c r="M4067"/>
      <c r="N4067"/>
      <c r="O4067"/>
      <c r="P4067"/>
      <c r="Q4067"/>
    </row>
    <row r="4068" spans="1:33" ht="14.25" x14ac:dyDescent="0.2">
      <c r="A4068" s="31"/>
      <c r="B4068" s="31"/>
      <c r="C4068" s="31" t="s">
        <v>37</v>
      </c>
      <c r="D4068" s="32"/>
      <c r="E4068" s="4"/>
      <c r="F4068" s="33">
        <f>[1]Source!AN5092</f>
        <v>0.09</v>
      </c>
      <c r="G4068" s="34" t="str">
        <f>[1]Source!DF5092</f>
        <v>*4*168</v>
      </c>
      <c r="H4068" s="4">
        <f>[1]Source!AV5092</f>
        <v>1</v>
      </c>
      <c r="I4068" s="4">
        <f>IF([1]Source!BS5092&lt;&gt; 0, [1]Source!BS5092, 1)</f>
        <v>1</v>
      </c>
      <c r="J4068" s="41">
        <f>[1]Source!R5092</f>
        <v>12.13</v>
      </c>
      <c r="K4068" s="33"/>
      <c r="M4068"/>
      <c r="N4068"/>
      <c r="O4068"/>
      <c r="P4068"/>
      <c r="Q4068"/>
    </row>
    <row r="4069" spans="1:33" ht="14.25" x14ac:dyDescent="0.2">
      <c r="A4069" s="31"/>
      <c r="B4069" s="31"/>
      <c r="C4069" s="31" t="s">
        <v>40</v>
      </c>
      <c r="D4069" s="32" t="s">
        <v>39</v>
      </c>
      <c r="E4069" s="4">
        <f>[1]Source!AT5092</f>
        <v>70</v>
      </c>
      <c r="F4069" s="33"/>
      <c r="G4069" s="34"/>
      <c r="H4069" s="4"/>
      <c r="I4069" s="4"/>
      <c r="J4069" s="33">
        <f>SUM(AC4064:AC4068)</f>
        <v>9158.7999999999993</v>
      </c>
      <c r="K4069" s="33"/>
      <c r="M4069"/>
      <c r="N4069"/>
      <c r="O4069"/>
      <c r="P4069"/>
      <c r="Q4069"/>
    </row>
    <row r="4070" spans="1:33" ht="14.25" x14ac:dyDescent="0.2">
      <c r="A4070" s="31"/>
      <c r="B4070" s="31"/>
      <c r="C4070" s="31" t="s">
        <v>41</v>
      </c>
      <c r="D4070" s="32" t="s">
        <v>39</v>
      </c>
      <c r="E4070" s="4">
        <f>[1]Source!AU5092</f>
        <v>10</v>
      </c>
      <c r="F4070" s="33"/>
      <c r="G4070" s="34"/>
      <c r="H4070" s="4"/>
      <c r="I4070" s="4"/>
      <c r="J4070" s="33">
        <f>SUM(AE4064:AE4069)</f>
        <v>1308.4000000000001</v>
      </c>
      <c r="K4070" s="33"/>
      <c r="M4070"/>
      <c r="N4070"/>
      <c r="O4070"/>
      <c r="P4070"/>
      <c r="Q4070"/>
    </row>
    <row r="4071" spans="1:33" ht="14.25" x14ac:dyDescent="0.2">
      <c r="A4071" s="31"/>
      <c r="B4071" s="31"/>
      <c r="C4071" s="31" t="s">
        <v>38</v>
      </c>
      <c r="D4071" s="32" t="s">
        <v>39</v>
      </c>
      <c r="E4071" s="4">
        <f>108</f>
        <v>108</v>
      </c>
      <c r="F4071" s="33"/>
      <c r="G4071" s="34"/>
      <c r="H4071" s="4"/>
      <c r="I4071" s="4"/>
      <c r="J4071" s="33">
        <f>SUM(AG4064:AG4070)</f>
        <v>13.1</v>
      </c>
      <c r="K4071" s="33"/>
      <c r="M4071"/>
      <c r="N4071"/>
      <c r="O4071"/>
      <c r="P4071"/>
      <c r="Q4071"/>
    </row>
    <row r="4072" spans="1:33" ht="14.25" x14ac:dyDescent="0.2">
      <c r="A4072" s="31"/>
      <c r="B4072" s="31"/>
      <c r="C4072" s="31" t="s">
        <v>42</v>
      </c>
      <c r="D4072" s="32" t="s">
        <v>43</v>
      </c>
      <c r="E4072" s="4">
        <f>[1]Source!AQ5092</f>
        <v>0.35</v>
      </c>
      <c r="F4072" s="33"/>
      <c r="G4072" s="34" t="str">
        <f>[1]Source!DI5092</f>
        <v>*4*168</v>
      </c>
      <c r="H4072" s="4">
        <f>[1]Source!AV5092</f>
        <v>1</v>
      </c>
      <c r="I4072" s="4"/>
      <c r="J4072" s="33"/>
      <c r="K4072" s="33">
        <f>[1]Source!U5092</f>
        <v>47.18112</v>
      </c>
      <c r="M4072"/>
      <c r="N4072"/>
      <c r="O4072"/>
      <c r="P4072"/>
      <c r="Q4072"/>
    </row>
    <row r="4073" spans="1:33" ht="15" x14ac:dyDescent="0.25">
      <c r="A4073" s="35"/>
      <c r="B4073" s="35"/>
      <c r="C4073" s="35"/>
      <c r="D4073" s="35"/>
      <c r="E4073" s="35"/>
      <c r="F4073" s="35"/>
      <c r="G4073" s="35"/>
      <c r="H4073" s="35"/>
      <c r="I4073" s="36">
        <f>J4066+J4067+J4069+J4070+J4071</f>
        <v>28143.56</v>
      </c>
      <c r="J4073" s="36"/>
      <c r="K4073" s="37">
        <f>IF([1]Source!I5092&lt;&gt;0, ROUND(I4073/[1]Source!I5092, 2), 0)</f>
        <v>140296.91</v>
      </c>
      <c r="M4073"/>
      <c r="N4073"/>
      <c r="O4073"/>
      <c r="P4073"/>
      <c r="Q4073"/>
      <c r="AA4073" s="38">
        <f>I4073</f>
        <v>28143.56</v>
      </c>
    </row>
    <row r="4074" spans="1:33" ht="42.75" x14ac:dyDescent="0.2">
      <c r="A4074" s="31">
        <v>509</v>
      </c>
      <c r="B4074" s="31" t="str">
        <f>[1]Source!F5093</f>
        <v>5.3-1102-9-1/1</v>
      </c>
      <c r="C4074" s="31" t="str">
        <f>[1]Source!G5093</f>
        <v>Колка льда на обледеневших покрытиях вручную ( S=100,3м2*0,8*0,3*0,5= 12.,04  м2)</v>
      </c>
      <c r="D4074" s="32" t="str">
        <f>[1]Source!H5093</f>
        <v>100 м2</v>
      </c>
      <c r="E4074" s="4">
        <f>[1]Source!I5093</f>
        <v>0.12039999999999999</v>
      </c>
      <c r="F4074" s="33"/>
      <c r="G4074" s="34"/>
      <c r="H4074" s="4"/>
      <c r="I4074" s="4"/>
      <c r="J4074" s="33"/>
      <c r="K4074" s="33"/>
      <c r="M4074"/>
      <c r="N4074"/>
      <c r="O4074"/>
      <c r="P4074"/>
      <c r="Q4074"/>
      <c r="AB4074">
        <f>ROUND(([1]Source!BZ5093/100)*ROUND(([1]Source!AF5093*[1]Source!AV5093)*[1]Source!I5093, 2), 2)</f>
        <v>16920.34</v>
      </c>
      <c r="AC4074">
        <f>[1]Source!X5093</f>
        <v>16920.34</v>
      </c>
      <c r="AD4074">
        <f>ROUND(([1]Source!CA5093/100)*ROUND(([1]Source!AF5093*[1]Source!AV5093)*[1]Source!I5093, 2), 2)</f>
        <v>2417.19</v>
      </c>
      <c r="AE4074">
        <f>[1]Source!Y5093</f>
        <v>2417.19</v>
      </c>
      <c r="AF4074">
        <f>ROUND((175/100)*ROUND(([1]Source!AE5093*[1]Source!AV5093)*[1]Source!I5093, 2), 2)</f>
        <v>0</v>
      </c>
      <c r="AG4074">
        <f>ROUND((108/100)*ROUND([1]Source!CS5093*[1]Source!I5093, 2), 2)</f>
        <v>0</v>
      </c>
    </row>
    <row r="4075" spans="1:33" x14ac:dyDescent="0.2">
      <c r="C4075" s="40" t="str">
        <f>"Объем: "&amp;[1]Source!I5093&amp;"=12,04/"&amp;"100"</f>
        <v>Объем: 0,1204=12,04/100</v>
      </c>
      <c r="M4075"/>
      <c r="N4075"/>
      <c r="O4075"/>
      <c r="P4075"/>
      <c r="Q4075"/>
    </row>
    <row r="4076" spans="1:33" ht="14.25" x14ac:dyDescent="0.2">
      <c r="A4076" s="31"/>
      <c r="B4076" s="31"/>
      <c r="C4076" s="31" t="s">
        <v>34</v>
      </c>
      <c r="D4076" s="32"/>
      <c r="E4076" s="4"/>
      <c r="F4076" s="33">
        <f>[1]Source!AO5093</f>
        <v>597.51</v>
      </c>
      <c r="G4076" s="34" t="str">
        <f>[1]Source!DG5093</f>
        <v>)*2*168</v>
      </c>
      <c r="H4076" s="4">
        <f>[1]Source!AV5093</f>
        <v>1</v>
      </c>
      <c r="I4076" s="4">
        <f>IF([1]Source!BA5093&lt;&gt; 0, [1]Source!BA5093, 1)</f>
        <v>1</v>
      </c>
      <c r="J4076" s="33">
        <f>[1]Source!S5093</f>
        <v>24171.91</v>
      </c>
      <c r="K4076" s="33"/>
      <c r="M4076"/>
      <c r="N4076"/>
      <c r="O4076"/>
      <c r="P4076"/>
      <c r="Q4076"/>
    </row>
    <row r="4077" spans="1:33" ht="14.25" x14ac:dyDescent="0.2">
      <c r="A4077" s="31"/>
      <c r="B4077" s="31"/>
      <c r="C4077" s="31" t="s">
        <v>40</v>
      </c>
      <c r="D4077" s="32" t="s">
        <v>39</v>
      </c>
      <c r="E4077" s="4">
        <f>[1]Source!AT5093</f>
        <v>70</v>
      </c>
      <c r="F4077" s="33"/>
      <c r="G4077" s="34"/>
      <c r="H4077" s="4"/>
      <c r="I4077" s="4"/>
      <c r="J4077" s="33">
        <f>SUM(AC4074:AC4076)</f>
        <v>16920.34</v>
      </c>
      <c r="K4077" s="33"/>
      <c r="M4077"/>
      <c r="N4077"/>
      <c r="O4077"/>
      <c r="P4077"/>
      <c r="Q4077"/>
    </row>
    <row r="4078" spans="1:33" ht="14.25" x14ac:dyDescent="0.2">
      <c r="A4078" s="31"/>
      <c r="B4078" s="31"/>
      <c r="C4078" s="31" t="s">
        <v>41</v>
      </c>
      <c r="D4078" s="32" t="s">
        <v>39</v>
      </c>
      <c r="E4078" s="4">
        <f>[1]Source!AU5093</f>
        <v>10</v>
      </c>
      <c r="F4078" s="33"/>
      <c r="G4078" s="34"/>
      <c r="H4078" s="4"/>
      <c r="I4078" s="4"/>
      <c r="J4078" s="33">
        <f>SUM(AE4074:AE4077)</f>
        <v>2417.19</v>
      </c>
      <c r="K4078" s="33"/>
      <c r="M4078"/>
      <c r="N4078"/>
      <c r="O4078"/>
      <c r="P4078"/>
      <c r="Q4078"/>
    </row>
    <row r="4079" spans="1:33" ht="14.25" x14ac:dyDescent="0.2">
      <c r="A4079" s="31"/>
      <c r="B4079" s="31"/>
      <c r="C4079" s="31" t="s">
        <v>42</v>
      </c>
      <c r="D4079" s="32" t="s">
        <v>43</v>
      </c>
      <c r="E4079" s="4">
        <f>[1]Source!AQ5093</f>
        <v>2.41</v>
      </c>
      <c r="F4079" s="33"/>
      <c r="G4079" s="34" t="str">
        <f>[1]Source!DI5093</f>
        <v>)*2*168</v>
      </c>
      <c r="H4079" s="4">
        <f>[1]Source!AV5093</f>
        <v>1</v>
      </c>
      <c r="I4079" s="4"/>
      <c r="J4079" s="33"/>
      <c r="K4079" s="33">
        <f>[1]Source!U5093</f>
        <v>97.495103999999998</v>
      </c>
      <c r="M4079"/>
      <c r="N4079"/>
      <c r="O4079"/>
      <c r="P4079"/>
      <c r="Q4079"/>
    </row>
    <row r="4080" spans="1:33" ht="15" x14ac:dyDescent="0.25">
      <c r="A4080" s="35"/>
      <c r="B4080" s="35"/>
      <c r="C4080" s="35"/>
      <c r="D4080" s="35"/>
      <c r="E4080" s="35"/>
      <c r="F4080" s="35"/>
      <c r="G4080" s="35"/>
      <c r="H4080" s="35"/>
      <c r="I4080" s="36">
        <f>J4076+J4077+J4078</f>
        <v>43509.440000000002</v>
      </c>
      <c r="J4080" s="36"/>
      <c r="K4080" s="37">
        <f>IF([1]Source!I5093&lt;&gt;0, ROUND(I4080/[1]Source!I5093, 2), 0)</f>
        <v>361374.09</v>
      </c>
      <c r="M4080"/>
      <c r="N4080"/>
      <c r="O4080"/>
      <c r="P4080"/>
      <c r="Q4080"/>
      <c r="AA4080" s="38">
        <f>I4080</f>
        <v>43509.440000000002</v>
      </c>
    </row>
    <row r="4081" spans="1:33" ht="28.5" x14ac:dyDescent="0.2">
      <c r="A4081" s="31">
        <v>510</v>
      </c>
      <c r="B4081" s="31" t="str">
        <f>[1]Source!F5094</f>
        <v>калькуляция</v>
      </c>
      <c r="C4081" s="31" t="str">
        <f>[1]Source!G5094</f>
        <v>Посыпка гранитной крошкой  дорожных покрытий вручную( 100г/м2 )</v>
      </c>
      <c r="D4081" s="32" t="str">
        <f>[1]Source!H5094</f>
        <v>м2</v>
      </c>
      <c r="E4081" s="4">
        <f>[1]Source!I5094</f>
        <v>100.3</v>
      </c>
      <c r="F4081" s="33"/>
      <c r="G4081" s="34"/>
      <c r="H4081" s="4"/>
      <c r="I4081" s="4"/>
      <c r="J4081" s="33"/>
      <c r="K4081" s="33"/>
      <c r="M4081"/>
      <c r="N4081"/>
      <c r="O4081"/>
      <c r="P4081"/>
      <c r="Q4081"/>
      <c r="AB4081">
        <f>ROUND(([1]Source!BZ5094/100)*ROUND(([1]Source!AF5094*[1]Source!AV5094)*[1]Source!I5094, 2), 2)</f>
        <v>0</v>
      </c>
      <c r="AC4081">
        <f>[1]Source!X5094</f>
        <v>0</v>
      </c>
      <c r="AD4081">
        <f>ROUND(([1]Source!CA5094/100)*ROUND(([1]Source!AF5094*[1]Source!AV5094)*[1]Source!I5094, 2), 2)</f>
        <v>0</v>
      </c>
      <c r="AE4081">
        <f>[1]Source!Y5094</f>
        <v>0</v>
      </c>
      <c r="AF4081">
        <f>ROUND((175/100)*ROUND(([1]Source!AE5094*[1]Source!AV5094)*[1]Source!I5094, 2), 2)</f>
        <v>0</v>
      </c>
      <c r="AG4081">
        <f>ROUND((108/100)*ROUND([1]Source!CS5094*[1]Source!I5094, 2), 2)</f>
        <v>0</v>
      </c>
    </row>
    <row r="4082" spans="1:33" ht="14.25" x14ac:dyDescent="0.2">
      <c r="A4082" s="31"/>
      <c r="B4082" s="31"/>
      <c r="C4082" s="31" t="s">
        <v>34</v>
      </c>
      <c r="D4082" s="32"/>
      <c r="E4082" s="4"/>
      <c r="F4082" s="33">
        <f>[1]Source!AO5094</f>
        <v>2.08</v>
      </c>
      <c r="G4082" s="34" t="str">
        <f>[1]Source!DG5094</f>
        <v>*4*168</v>
      </c>
      <c r="H4082" s="4">
        <f>[1]Source!AV5094</f>
        <v>1</v>
      </c>
      <c r="I4082" s="4">
        <f>IF([1]Source!BA5094&lt;&gt; 0, [1]Source!BA5094, 1)</f>
        <v>1</v>
      </c>
      <c r="J4082" s="33">
        <f>[1]Source!S5094</f>
        <v>140195.32999999999</v>
      </c>
      <c r="K4082" s="33"/>
      <c r="M4082"/>
      <c r="N4082"/>
      <c r="O4082"/>
      <c r="P4082"/>
      <c r="Q4082"/>
    </row>
    <row r="4083" spans="1:33" ht="14.25" x14ac:dyDescent="0.2">
      <c r="A4083" s="31" t="s">
        <v>193</v>
      </c>
      <c r="B4083" s="31" t="str">
        <f>[1]Source!F5095</f>
        <v>цена поставщика</v>
      </c>
      <c r="C4083" s="31" t="str">
        <f>[1]Source!G5095</f>
        <v>Крошка гранитная</v>
      </c>
      <c r="D4083" s="32" t="str">
        <f>[1]Source!H5095</f>
        <v>кг</v>
      </c>
      <c r="E4083" s="4">
        <f>[1]Source!I5095</f>
        <v>6740.16</v>
      </c>
      <c r="F4083" s="33">
        <f>[1]Source!AK5095</f>
        <v>4.43</v>
      </c>
      <c r="G4083" s="39" t="s">
        <v>68</v>
      </c>
      <c r="H4083" s="4">
        <f>[1]Source!AW5095</f>
        <v>1</v>
      </c>
      <c r="I4083" s="4">
        <f>IF([1]Source!BC5095&lt;&gt; 0, [1]Source!BC5095, 1)</f>
        <v>1</v>
      </c>
      <c r="J4083" s="33">
        <f>[1]Source!O5095</f>
        <v>29858.91</v>
      </c>
      <c r="K4083" s="33"/>
      <c r="M4083"/>
      <c r="N4083"/>
      <c r="O4083"/>
      <c r="P4083"/>
      <c r="Q4083"/>
      <c r="AB4083">
        <f>ROUND(([1]Source!BZ5095/100)*ROUND(([1]Source!AF5095*[1]Source!AV5095)*[1]Source!I5095, 2), 2)</f>
        <v>0</v>
      </c>
      <c r="AC4083">
        <f>[1]Source!X5095</f>
        <v>0</v>
      </c>
      <c r="AD4083">
        <f>ROUND(([1]Source!CA5095/100)*ROUND(([1]Source!AF5095*[1]Source!AV5095)*[1]Source!I5095, 2), 2)</f>
        <v>0</v>
      </c>
      <c r="AE4083">
        <f>[1]Source!Y5095</f>
        <v>0</v>
      </c>
      <c r="AF4083">
        <f>ROUND((175/100)*ROUND(([1]Source!AE5095*[1]Source!AV5095)*[1]Source!I5095, 2), 2)</f>
        <v>0</v>
      </c>
      <c r="AG4083">
        <f>ROUND((108/100)*ROUND([1]Source!CS5095*[1]Source!I5095, 2), 2)</f>
        <v>0</v>
      </c>
    </row>
    <row r="4084" spans="1:33" ht="15" x14ac:dyDescent="0.25">
      <c r="A4084" s="35"/>
      <c r="B4084" s="35"/>
      <c r="C4084" s="35"/>
      <c r="D4084" s="35"/>
      <c r="E4084" s="35"/>
      <c r="F4084" s="35"/>
      <c r="G4084" s="35"/>
      <c r="H4084" s="35"/>
      <c r="I4084" s="36">
        <f>J4082+SUM(J4083:J4083)</f>
        <v>170054.24</v>
      </c>
      <c r="J4084" s="36"/>
      <c r="K4084" s="37">
        <f>IF([1]Source!I5094&lt;&gt;0, ROUND(I4084/[1]Source!I5094, 2), 0)</f>
        <v>1695.46</v>
      </c>
      <c r="M4084"/>
      <c r="N4084"/>
      <c r="O4084"/>
      <c r="P4084"/>
      <c r="Q4084"/>
      <c r="AA4084" s="38">
        <f>I4084</f>
        <v>170054.24</v>
      </c>
    </row>
    <row r="4085" spans="1:33" ht="28.5" x14ac:dyDescent="0.2">
      <c r="A4085" s="31">
        <v>511</v>
      </c>
      <c r="B4085" s="31" t="str">
        <f>[1]Source!F5096</f>
        <v>5.4-1201-1-1/1</v>
      </c>
      <c r="C4085" s="31" t="str">
        <f>[1]Source!G5096</f>
        <v>Сбор случайного мусора по территории</v>
      </c>
      <c r="D4085" s="32" t="str">
        <f>[1]Source!H5096</f>
        <v>100 м2</v>
      </c>
      <c r="E4085" s="4">
        <f>[1]Source!I5096</f>
        <v>1.0029999999999999</v>
      </c>
      <c r="F4085" s="33"/>
      <c r="G4085" s="34"/>
      <c r="H4085" s="4"/>
      <c r="I4085" s="4"/>
      <c r="J4085" s="33"/>
      <c r="K4085" s="33"/>
      <c r="M4085"/>
      <c r="N4085"/>
      <c r="O4085"/>
      <c r="P4085"/>
      <c r="Q4085"/>
      <c r="AB4085">
        <f>ROUND(([1]Source!BZ5096/100)*ROUND(([1]Source!AF5096*[1]Source!AV5096)*[1]Source!I5096, 2), 2)</f>
        <v>11561.62</v>
      </c>
      <c r="AC4085">
        <f>[1]Source!X5096</f>
        <v>11561.62</v>
      </c>
      <c r="AD4085">
        <f>ROUND(([1]Source!CA5096/100)*ROUND(([1]Source!AF5096*[1]Source!AV5096)*[1]Source!I5096, 2), 2)</f>
        <v>1651.66</v>
      </c>
      <c r="AE4085">
        <f>[1]Source!Y5096</f>
        <v>1651.66</v>
      </c>
      <c r="AF4085">
        <f>ROUND((175/100)*ROUND(([1]Source!AE5096*[1]Source!AV5096)*[1]Source!I5096, 2), 2)</f>
        <v>0</v>
      </c>
      <c r="AG4085">
        <f>ROUND((108/100)*ROUND([1]Source!CS5096*[1]Source!I5096, 2), 2)</f>
        <v>0</v>
      </c>
    </row>
    <row r="4086" spans="1:33" x14ac:dyDescent="0.2">
      <c r="C4086" s="40" t="str">
        <f>"Объем: "&amp;[1]Source!I5096&amp;"=100,3/"&amp;"100"</f>
        <v>Объем: 1,003=100,3/100</v>
      </c>
      <c r="M4086"/>
      <c r="N4086"/>
      <c r="O4086"/>
      <c r="P4086"/>
      <c r="Q4086"/>
    </row>
    <row r="4087" spans="1:33" ht="14.25" x14ac:dyDescent="0.2">
      <c r="A4087" s="31"/>
      <c r="B4087" s="31"/>
      <c r="C4087" s="31" t="s">
        <v>34</v>
      </c>
      <c r="D4087" s="32"/>
      <c r="E4087" s="4"/>
      <c r="F4087" s="33">
        <f>[1]Source!AO5096</f>
        <v>12.4</v>
      </c>
      <c r="G4087" s="34" t="str">
        <f>[1]Source!DG5096</f>
        <v>)*4*332</v>
      </c>
      <c r="H4087" s="4">
        <f>[1]Source!AV5096</f>
        <v>1</v>
      </c>
      <c r="I4087" s="4">
        <f>IF([1]Source!BA5096&lt;&gt; 0, [1]Source!BA5096, 1)</f>
        <v>1</v>
      </c>
      <c r="J4087" s="33">
        <f>[1]Source!S5096</f>
        <v>16516.599999999999</v>
      </c>
      <c r="K4087" s="33"/>
      <c r="M4087"/>
      <c r="N4087"/>
      <c r="O4087"/>
      <c r="P4087"/>
      <c r="Q4087"/>
    </row>
    <row r="4088" spans="1:33" ht="14.25" x14ac:dyDescent="0.2">
      <c r="A4088" s="31"/>
      <c r="B4088" s="31"/>
      <c r="C4088" s="31" t="s">
        <v>47</v>
      </c>
      <c r="D4088" s="32"/>
      <c r="E4088" s="4"/>
      <c r="F4088" s="33">
        <f>[1]Source!AL5096</f>
        <v>0.69</v>
      </c>
      <c r="G4088" s="34" t="str">
        <f>[1]Source!DD5096</f>
        <v>)*4*332</v>
      </c>
      <c r="H4088" s="4">
        <f>[1]Source!AW5096</f>
        <v>1</v>
      </c>
      <c r="I4088" s="4">
        <f>IF([1]Source!BC5096&lt;&gt; 0, [1]Source!BC5096, 1)</f>
        <v>1</v>
      </c>
      <c r="J4088" s="33">
        <f>[1]Source!P5096</f>
        <v>919.07</v>
      </c>
      <c r="K4088" s="33"/>
      <c r="M4088"/>
      <c r="N4088"/>
      <c r="O4088"/>
      <c r="P4088"/>
      <c r="Q4088"/>
    </row>
    <row r="4089" spans="1:33" ht="14.25" x14ac:dyDescent="0.2">
      <c r="A4089" s="31"/>
      <c r="B4089" s="31"/>
      <c r="C4089" s="31" t="s">
        <v>40</v>
      </c>
      <c r="D4089" s="32" t="s">
        <v>39</v>
      </c>
      <c r="E4089" s="4">
        <f>[1]Source!AT5096</f>
        <v>70</v>
      </c>
      <c r="F4089" s="33"/>
      <c r="G4089" s="34"/>
      <c r="H4089" s="4"/>
      <c r="I4089" s="4"/>
      <c r="J4089" s="33">
        <f>SUM(AC4085:AC4088)</f>
        <v>11561.62</v>
      </c>
      <c r="K4089" s="33"/>
      <c r="M4089"/>
      <c r="N4089"/>
      <c r="O4089"/>
      <c r="P4089"/>
      <c r="Q4089"/>
    </row>
    <row r="4090" spans="1:33" ht="14.25" x14ac:dyDescent="0.2">
      <c r="A4090" s="31"/>
      <c r="B4090" s="31"/>
      <c r="C4090" s="31" t="s">
        <v>41</v>
      </c>
      <c r="D4090" s="32" t="s">
        <v>39</v>
      </c>
      <c r="E4090" s="4">
        <f>[1]Source!AU5096</f>
        <v>10</v>
      </c>
      <c r="F4090" s="33"/>
      <c r="G4090" s="34"/>
      <c r="H4090" s="4"/>
      <c r="I4090" s="4"/>
      <c r="J4090" s="33">
        <f>SUM(AE4085:AE4089)</f>
        <v>1651.66</v>
      </c>
      <c r="K4090" s="33"/>
      <c r="M4090"/>
      <c r="N4090"/>
      <c r="O4090"/>
      <c r="P4090"/>
      <c r="Q4090"/>
    </row>
    <row r="4091" spans="1:33" ht="14.25" x14ac:dyDescent="0.2">
      <c r="A4091" s="31"/>
      <c r="B4091" s="31"/>
      <c r="C4091" s="31" t="s">
        <v>42</v>
      </c>
      <c r="D4091" s="32" t="s">
        <v>43</v>
      </c>
      <c r="E4091" s="4">
        <f>[1]Source!AQ5096</f>
        <v>0.05</v>
      </c>
      <c r="F4091" s="33"/>
      <c r="G4091" s="34" t="str">
        <f>[1]Source!DI5096</f>
        <v>)*4*332</v>
      </c>
      <c r="H4091" s="4">
        <f>[1]Source!AV5096</f>
        <v>1</v>
      </c>
      <c r="I4091" s="4"/>
      <c r="J4091" s="33"/>
      <c r="K4091" s="33">
        <f>[1]Source!U5096</f>
        <v>66.599199999999996</v>
      </c>
      <c r="M4091"/>
      <c r="N4091"/>
      <c r="O4091"/>
      <c r="P4091"/>
      <c r="Q4091"/>
    </row>
    <row r="4092" spans="1:33" ht="15" x14ac:dyDescent="0.25">
      <c r="A4092" s="35"/>
      <c r="B4092" s="35"/>
      <c r="C4092" s="35"/>
      <c r="D4092" s="35"/>
      <c r="E4092" s="35"/>
      <c r="F4092" s="35"/>
      <c r="G4092" s="35"/>
      <c r="H4092" s="35"/>
      <c r="I4092" s="36">
        <f>J4087+J4088+J4089+J4090</f>
        <v>30648.95</v>
      </c>
      <c r="J4092" s="36"/>
      <c r="K4092" s="37">
        <f>IF([1]Source!I5096&lt;&gt;0, ROUND(I4092/[1]Source!I5096, 2), 0)</f>
        <v>30557.279999999999</v>
      </c>
      <c r="M4092"/>
      <c r="N4092"/>
      <c r="O4092"/>
      <c r="P4092"/>
      <c r="Q4092"/>
      <c r="AA4092" s="38">
        <f>I4092</f>
        <v>30648.95</v>
      </c>
    </row>
    <row r="4093" spans="1:33" x14ac:dyDescent="0.2">
      <c r="M4093"/>
      <c r="N4093"/>
      <c r="O4093"/>
      <c r="P4093"/>
      <c r="Q4093"/>
    </row>
    <row r="4094" spans="1:33" ht="15" x14ac:dyDescent="0.25">
      <c r="A4094" s="42" t="str">
        <f>CONCATENATE("Итого по подразделу: ",IF([1]Source!G5098&lt;&gt;"Новый подраздел", [1]Source!G5098, ""))</f>
        <v>Итого по подразделу: Содержание покрытий.</v>
      </c>
      <c r="B4094" s="42"/>
      <c r="C4094" s="42"/>
      <c r="D4094" s="42"/>
      <c r="E4094" s="42"/>
      <c r="F4094" s="42"/>
      <c r="G4094" s="42"/>
      <c r="H4094" s="42"/>
      <c r="I4094" s="43">
        <f>SUM(AA4032:AA4093)</f>
        <v>486594.05</v>
      </c>
      <c r="J4094" s="44"/>
      <c r="K4094" s="47"/>
      <c r="L4094" s="38">
        <f>I4094</f>
        <v>486594.05</v>
      </c>
      <c r="M4094" s="2">
        <f>ROUND(I4094*$I$4874,2)</f>
        <v>351421.55</v>
      </c>
      <c r="N4094" s="2">
        <f>ROUND(M4094*1.2/105*100,2)</f>
        <v>401624.63</v>
      </c>
      <c r="O4094" s="2">
        <f>ROUND(N4094*0.05,2)</f>
        <v>20081.23</v>
      </c>
      <c r="P4094" s="2">
        <f>N4094+O4094</f>
        <v>421705.86</v>
      </c>
      <c r="Q4094" s="3">
        <v>7</v>
      </c>
      <c r="S4094" s="2">
        <v>77323.320000000007</v>
      </c>
    </row>
    <row r="4095" spans="1:33" x14ac:dyDescent="0.2">
      <c r="M4095"/>
      <c r="N4095"/>
      <c r="O4095"/>
      <c r="P4095"/>
      <c r="Q4095"/>
    </row>
    <row r="4096" spans="1:33" x14ac:dyDescent="0.2">
      <c r="M4096"/>
      <c r="N4096"/>
      <c r="O4096"/>
      <c r="P4096"/>
      <c r="Q4096"/>
    </row>
    <row r="4097" spans="1:33" ht="16.5" x14ac:dyDescent="0.25">
      <c r="A4097" s="29" t="str">
        <f>CONCATENATE("Подраздел: ",IF([1]Source!G5128&lt;&gt;"Новый подраздел", [1]Source!G5128, ""))</f>
        <v>Подраздел: Содержание лестниц</v>
      </c>
      <c r="B4097" s="29"/>
      <c r="C4097" s="29"/>
      <c r="D4097" s="29"/>
      <c r="E4097" s="29"/>
      <c r="F4097" s="29"/>
      <c r="G4097" s="29"/>
      <c r="H4097" s="29"/>
      <c r="I4097" s="29"/>
      <c r="J4097" s="29"/>
      <c r="K4097" s="29"/>
      <c r="M4097"/>
      <c r="N4097"/>
      <c r="O4097"/>
      <c r="P4097"/>
      <c r="Q4097"/>
    </row>
    <row r="4098" spans="1:33" ht="14.25" x14ac:dyDescent="0.2">
      <c r="A4098" s="31">
        <v>512</v>
      </c>
      <c r="B4098" s="31" t="str">
        <f>[1]Source!F5132</f>
        <v>калькуляция</v>
      </c>
      <c r="C4098" s="31" t="str">
        <f>[1]Source!G5132</f>
        <v>Подметание лестницы</v>
      </c>
      <c r="D4098" s="32" t="str">
        <f>[1]Source!H5132</f>
        <v>м2</v>
      </c>
      <c r="E4098" s="4">
        <f>[1]Source!I5132</f>
        <v>9.0399999999999991</v>
      </c>
      <c r="F4098" s="33"/>
      <c r="G4098" s="34"/>
      <c r="H4098" s="4"/>
      <c r="I4098" s="4"/>
      <c r="J4098" s="33"/>
      <c r="K4098" s="33"/>
      <c r="M4098"/>
      <c r="N4098"/>
      <c r="O4098"/>
      <c r="P4098"/>
      <c r="Q4098"/>
      <c r="AB4098">
        <f>ROUND(([1]Source!BZ5132/100)*ROUND(([1]Source!AF5132*[1]Source!AV5132)*[1]Source!I5132, 2), 2)</f>
        <v>0</v>
      </c>
      <c r="AC4098">
        <f>[1]Source!X5132</f>
        <v>0</v>
      </c>
      <c r="AD4098">
        <f>ROUND(([1]Source!CA5132/100)*ROUND(([1]Source!AF5132*[1]Source!AV5132)*[1]Source!I5132, 2), 2)</f>
        <v>0</v>
      </c>
      <c r="AE4098">
        <f>[1]Source!Y5132</f>
        <v>0</v>
      </c>
      <c r="AF4098">
        <f>ROUND((175/100)*ROUND(([1]Source!AE5132*[1]Source!AV5132)*[1]Source!I5132, 2), 2)</f>
        <v>0</v>
      </c>
      <c r="AG4098">
        <f>ROUND((108/100)*ROUND([1]Source!CS5132*[1]Source!I5132, 2), 2)</f>
        <v>0</v>
      </c>
    </row>
    <row r="4099" spans="1:33" ht="14.25" x14ac:dyDescent="0.2">
      <c r="A4099" s="31"/>
      <c r="B4099" s="31"/>
      <c r="C4099" s="31" t="s">
        <v>34</v>
      </c>
      <c r="D4099" s="32"/>
      <c r="E4099" s="4"/>
      <c r="F4099" s="33">
        <f>[1]Source!AO5132</f>
        <v>1.94</v>
      </c>
      <c r="G4099" s="34" t="str">
        <f>[1]Source!DG5132</f>
        <v>)*4*164</v>
      </c>
      <c r="H4099" s="4">
        <f>[1]Source!AV5132</f>
        <v>1</v>
      </c>
      <c r="I4099" s="4">
        <f>IF([1]Source!BA5132&lt;&gt; 0, [1]Source!BA5132, 1)</f>
        <v>1</v>
      </c>
      <c r="J4099" s="33">
        <f>[1]Source!S5132</f>
        <v>11504.67</v>
      </c>
      <c r="K4099" s="33"/>
      <c r="M4099"/>
      <c r="N4099"/>
      <c r="O4099"/>
      <c r="P4099"/>
      <c r="Q4099"/>
    </row>
    <row r="4100" spans="1:33" ht="15" x14ac:dyDescent="0.25">
      <c r="A4100" s="35"/>
      <c r="B4100" s="35"/>
      <c r="C4100" s="35"/>
      <c r="D4100" s="35"/>
      <c r="E4100" s="35"/>
      <c r="F4100" s="35"/>
      <c r="G4100" s="35"/>
      <c r="H4100" s="35"/>
      <c r="I4100" s="36">
        <f>J4099</f>
        <v>11504.67</v>
      </c>
      <c r="J4100" s="36"/>
      <c r="K4100" s="37">
        <f>IF([1]Source!I5132&lt;&gt;0, ROUND(I4100/[1]Source!I5132, 2), 0)</f>
        <v>1272.6400000000001</v>
      </c>
      <c r="M4100"/>
      <c r="N4100"/>
      <c r="O4100"/>
      <c r="P4100"/>
      <c r="Q4100"/>
      <c r="AA4100" s="38">
        <f>I4100</f>
        <v>11504.67</v>
      </c>
    </row>
    <row r="4101" spans="1:33" ht="42.75" x14ac:dyDescent="0.2">
      <c r="A4101" s="31">
        <v>513</v>
      </c>
      <c r="B4101" s="31" t="str">
        <f>[1]Source!F5133</f>
        <v>5.3-1102-19-1/1</v>
      </c>
      <c r="C4101" s="31" t="str">
        <f>[1]Source!G5133</f>
        <v>Уборка лестниц от снега вручную на территории типа ВДНХ - толщиной до 10 см</v>
      </c>
      <c r="D4101" s="32" t="str">
        <f>[1]Source!H5133</f>
        <v>100 м2</v>
      </c>
      <c r="E4101" s="4">
        <f>[1]Source!I5133</f>
        <v>9.0399999999999994E-2</v>
      </c>
      <c r="F4101" s="33"/>
      <c r="G4101" s="34"/>
      <c r="H4101" s="4"/>
      <c r="I4101" s="4"/>
      <c r="J4101" s="33"/>
      <c r="K4101" s="33"/>
      <c r="M4101"/>
      <c r="N4101"/>
      <c r="O4101"/>
      <c r="P4101"/>
      <c r="Q4101"/>
      <c r="AB4101">
        <f>ROUND(([1]Source!BZ5133/100)*ROUND(([1]Source!AF5133*[1]Source!AV5133)*[1]Source!I5133, 2), 2)</f>
        <v>6536.82</v>
      </c>
      <c r="AC4101">
        <f>[1]Source!X5133</f>
        <v>6536.82</v>
      </c>
      <c r="AD4101">
        <f>ROUND(([1]Source!CA5133/100)*ROUND(([1]Source!AF5133*[1]Source!AV5133)*[1]Source!I5133, 2), 2)</f>
        <v>933.83</v>
      </c>
      <c r="AE4101">
        <f>[1]Source!Y5133</f>
        <v>933.83</v>
      </c>
      <c r="AF4101">
        <f>ROUND((175/100)*ROUND(([1]Source!AE5133*[1]Source!AV5133)*[1]Source!I5133, 2), 2)</f>
        <v>0</v>
      </c>
      <c r="AG4101">
        <f>ROUND((108/100)*ROUND([1]Source!CS5133*[1]Source!I5133, 2), 2)</f>
        <v>0</v>
      </c>
    </row>
    <row r="4102" spans="1:33" x14ac:dyDescent="0.2">
      <c r="C4102" s="40" t="str">
        <f>"Объем: "&amp;[1]Source!I5133&amp;"=9,04/"&amp;"100"</f>
        <v>Объем: 0,0904=9,04/100</v>
      </c>
      <c r="M4102"/>
      <c r="N4102"/>
      <c r="O4102"/>
      <c r="P4102"/>
      <c r="Q4102"/>
    </row>
    <row r="4103" spans="1:33" ht="14.25" x14ac:dyDescent="0.2">
      <c r="A4103" s="31"/>
      <c r="B4103" s="31"/>
      <c r="C4103" s="31" t="s">
        <v>34</v>
      </c>
      <c r="D4103" s="32"/>
      <c r="E4103" s="4"/>
      <c r="F4103" s="33">
        <f>[1]Source!AO5133</f>
        <v>153.72</v>
      </c>
      <c r="G4103" s="34" t="str">
        <f>[1]Source!DG5133</f>
        <v>)*4*168</v>
      </c>
      <c r="H4103" s="4">
        <f>[1]Source!AV5133</f>
        <v>1</v>
      </c>
      <c r="I4103" s="4">
        <f>IF([1]Source!BA5133&lt;&gt; 0, [1]Source!BA5133, 1)</f>
        <v>1</v>
      </c>
      <c r="J4103" s="33">
        <f>[1]Source!S5133</f>
        <v>9338.31</v>
      </c>
      <c r="K4103" s="33"/>
      <c r="M4103"/>
      <c r="N4103"/>
      <c r="O4103"/>
      <c r="P4103"/>
      <c r="Q4103"/>
    </row>
    <row r="4104" spans="1:33" ht="14.25" x14ac:dyDescent="0.2">
      <c r="A4104" s="31"/>
      <c r="B4104" s="31"/>
      <c r="C4104" s="31" t="s">
        <v>40</v>
      </c>
      <c r="D4104" s="32" t="s">
        <v>39</v>
      </c>
      <c r="E4104" s="4">
        <f>[1]Source!AT5133</f>
        <v>70</v>
      </c>
      <c r="F4104" s="33"/>
      <c r="G4104" s="34"/>
      <c r="H4104" s="4"/>
      <c r="I4104" s="4"/>
      <c r="J4104" s="33">
        <f>SUM(AC4101:AC4103)</f>
        <v>6536.82</v>
      </c>
      <c r="K4104" s="33"/>
      <c r="M4104"/>
      <c r="N4104"/>
      <c r="O4104"/>
      <c r="P4104"/>
      <c r="Q4104"/>
    </row>
    <row r="4105" spans="1:33" ht="14.25" x14ac:dyDescent="0.2">
      <c r="A4105" s="31"/>
      <c r="B4105" s="31"/>
      <c r="C4105" s="31" t="s">
        <v>41</v>
      </c>
      <c r="D4105" s="32" t="s">
        <v>39</v>
      </c>
      <c r="E4105" s="4">
        <f>[1]Source!AU5133</f>
        <v>10</v>
      </c>
      <c r="F4105" s="33"/>
      <c r="G4105" s="34"/>
      <c r="H4105" s="4"/>
      <c r="I4105" s="4"/>
      <c r="J4105" s="33">
        <f>SUM(AE4101:AE4104)</f>
        <v>933.83</v>
      </c>
      <c r="K4105" s="33"/>
      <c r="M4105"/>
      <c r="N4105"/>
      <c r="O4105"/>
      <c r="P4105"/>
      <c r="Q4105"/>
    </row>
    <row r="4106" spans="1:33" ht="14.25" x14ac:dyDescent="0.2">
      <c r="A4106" s="31"/>
      <c r="B4106" s="31"/>
      <c r="C4106" s="31" t="s">
        <v>42</v>
      </c>
      <c r="D4106" s="32" t="s">
        <v>43</v>
      </c>
      <c r="E4106" s="4">
        <f>[1]Source!AQ5133</f>
        <v>0.62</v>
      </c>
      <c r="F4106" s="33"/>
      <c r="G4106" s="34" t="str">
        <f>[1]Source!DI5133</f>
        <v>)*4*168</v>
      </c>
      <c r="H4106" s="4">
        <f>[1]Source!AV5133</f>
        <v>1</v>
      </c>
      <c r="I4106" s="4"/>
      <c r="J4106" s="33"/>
      <c r="K4106" s="33">
        <f>[1]Source!U5133</f>
        <v>37.664255999999995</v>
      </c>
      <c r="M4106"/>
      <c r="N4106"/>
      <c r="O4106"/>
      <c r="P4106"/>
      <c r="Q4106"/>
    </row>
    <row r="4107" spans="1:33" ht="15" x14ac:dyDescent="0.25">
      <c r="A4107" s="35"/>
      <c r="B4107" s="35"/>
      <c r="C4107" s="35"/>
      <c r="D4107" s="35"/>
      <c r="E4107" s="35"/>
      <c r="F4107" s="35"/>
      <c r="G4107" s="35"/>
      <c r="H4107" s="35"/>
      <c r="I4107" s="36">
        <f>J4103+J4104+J4105</f>
        <v>16808.96</v>
      </c>
      <c r="J4107" s="36"/>
      <c r="K4107" s="37">
        <f>IF([1]Source!I5133&lt;&gt;0, ROUND(I4107/[1]Source!I5133, 2), 0)</f>
        <v>185939.82</v>
      </c>
      <c r="M4107"/>
      <c r="N4107"/>
      <c r="O4107"/>
      <c r="P4107"/>
      <c r="Q4107"/>
      <c r="AA4107" s="38">
        <f>I4107</f>
        <v>16808.96</v>
      </c>
    </row>
    <row r="4108" spans="1:33" ht="28.5" x14ac:dyDescent="0.2">
      <c r="A4108" s="31">
        <v>514</v>
      </c>
      <c r="B4108" s="31" t="str">
        <f>[1]Source!F5134</f>
        <v>5.3-1102-8-3/1</v>
      </c>
      <c r="C4108" s="31" t="str">
        <f>[1]Source!G5134</f>
        <v>Уборка слежавшегося снега вручную( 10% от 9,04 м2)</v>
      </c>
      <c r="D4108" s="32" t="str">
        <f>[1]Source!H5134</f>
        <v>100 м2</v>
      </c>
      <c r="E4108" s="4">
        <f>[1]Source!I5134</f>
        <v>9.0399999999999994E-3</v>
      </c>
      <c r="F4108" s="33"/>
      <c r="G4108" s="34"/>
      <c r="H4108" s="4"/>
      <c r="I4108" s="4"/>
      <c r="J4108" s="33"/>
      <c r="K4108" s="33"/>
      <c r="M4108"/>
      <c r="N4108"/>
      <c r="O4108"/>
      <c r="P4108"/>
      <c r="Q4108"/>
      <c r="AB4108">
        <f>ROUND(([1]Source!BZ5134/100)*ROUND(([1]Source!AF5134*[1]Source!AV5134)*[1]Source!I5134, 2), 2)</f>
        <v>100.81</v>
      </c>
      <c r="AC4108">
        <f>[1]Source!X5134</f>
        <v>100.81</v>
      </c>
      <c r="AD4108">
        <f>ROUND(([1]Source!CA5134/100)*ROUND(([1]Source!AF5134*[1]Source!AV5134)*[1]Source!I5134, 2), 2)</f>
        <v>14.4</v>
      </c>
      <c r="AE4108">
        <f>[1]Source!Y5134</f>
        <v>14.4</v>
      </c>
      <c r="AF4108">
        <f>ROUND((175/100)*ROUND(([1]Source!AE5134*[1]Source!AV5134)*[1]Source!I5134, 2), 2)</f>
        <v>0</v>
      </c>
      <c r="AG4108">
        <f>ROUND((108/100)*ROUND([1]Source!CS5134*[1]Source!I5134, 2), 2)</f>
        <v>0</v>
      </c>
    </row>
    <row r="4109" spans="1:33" x14ac:dyDescent="0.2">
      <c r="C4109" s="40" t="str">
        <f>"Объем: "&amp;[1]Source!I5134&amp;"=0,904/"&amp;"100"</f>
        <v>Объем: 0,00904=0,904/100</v>
      </c>
      <c r="M4109"/>
      <c r="N4109"/>
      <c r="O4109"/>
      <c r="P4109"/>
      <c r="Q4109"/>
    </row>
    <row r="4110" spans="1:33" ht="14.25" x14ac:dyDescent="0.2">
      <c r="A4110" s="31"/>
      <c r="B4110" s="31"/>
      <c r="C4110" s="31" t="s">
        <v>34</v>
      </c>
      <c r="D4110" s="32"/>
      <c r="E4110" s="4"/>
      <c r="F4110" s="33">
        <f>[1]Source!AO5134</f>
        <v>379.33</v>
      </c>
      <c r="G4110" s="34" t="str">
        <f>[1]Source!DG5134</f>
        <v>)*1*42</v>
      </c>
      <c r="H4110" s="4">
        <f>[1]Source!AV5134</f>
        <v>1</v>
      </c>
      <c r="I4110" s="4">
        <f>IF([1]Source!BA5134&lt;&gt; 0, [1]Source!BA5134, 1)</f>
        <v>1</v>
      </c>
      <c r="J4110" s="33">
        <f>[1]Source!S5134</f>
        <v>144.02000000000001</v>
      </c>
      <c r="K4110" s="33"/>
      <c r="M4110"/>
      <c r="N4110"/>
      <c r="O4110"/>
      <c r="P4110"/>
      <c r="Q4110"/>
    </row>
    <row r="4111" spans="1:33" ht="14.25" x14ac:dyDescent="0.2">
      <c r="A4111" s="31"/>
      <c r="B4111" s="31"/>
      <c r="C4111" s="31" t="s">
        <v>40</v>
      </c>
      <c r="D4111" s="32" t="s">
        <v>39</v>
      </c>
      <c r="E4111" s="4">
        <f>[1]Source!AT5134</f>
        <v>70</v>
      </c>
      <c r="F4111" s="33"/>
      <c r="G4111" s="34"/>
      <c r="H4111" s="4"/>
      <c r="I4111" s="4"/>
      <c r="J4111" s="33">
        <f>SUM(AC4108:AC4110)</f>
        <v>100.81</v>
      </c>
      <c r="K4111" s="33"/>
      <c r="M4111"/>
      <c r="N4111"/>
      <c r="O4111"/>
      <c r="P4111"/>
      <c r="Q4111"/>
    </row>
    <row r="4112" spans="1:33" ht="14.25" x14ac:dyDescent="0.2">
      <c r="A4112" s="31"/>
      <c r="B4112" s="31"/>
      <c r="C4112" s="31" t="s">
        <v>41</v>
      </c>
      <c r="D4112" s="32" t="s">
        <v>39</v>
      </c>
      <c r="E4112" s="4">
        <f>[1]Source!AU5134</f>
        <v>10</v>
      </c>
      <c r="F4112" s="33"/>
      <c r="G4112" s="34"/>
      <c r="H4112" s="4"/>
      <c r="I4112" s="4"/>
      <c r="J4112" s="33">
        <f>SUM(AE4108:AE4111)</f>
        <v>14.4</v>
      </c>
      <c r="K4112" s="33"/>
      <c r="M4112"/>
      <c r="N4112"/>
      <c r="O4112"/>
      <c r="P4112"/>
      <c r="Q4112"/>
    </row>
    <row r="4113" spans="1:33" ht="14.25" x14ac:dyDescent="0.2">
      <c r="A4113" s="31"/>
      <c r="B4113" s="31"/>
      <c r="C4113" s="31" t="s">
        <v>42</v>
      </c>
      <c r="D4113" s="32" t="s">
        <v>43</v>
      </c>
      <c r="E4113" s="4">
        <f>[1]Source!AQ5134</f>
        <v>1.53</v>
      </c>
      <c r="F4113" s="33"/>
      <c r="G4113" s="34" t="str">
        <f>[1]Source!DI5134</f>
        <v>)*1*42</v>
      </c>
      <c r="H4113" s="4">
        <f>[1]Source!AV5134</f>
        <v>1</v>
      </c>
      <c r="I4113" s="4"/>
      <c r="J4113" s="33"/>
      <c r="K4113" s="33">
        <f>[1]Source!U5134</f>
        <v>0.58091040000000005</v>
      </c>
      <c r="M4113"/>
      <c r="N4113"/>
      <c r="O4113"/>
      <c r="P4113"/>
      <c r="Q4113"/>
    </row>
    <row r="4114" spans="1:33" ht="15" x14ac:dyDescent="0.25">
      <c r="A4114" s="35"/>
      <c r="B4114" s="35"/>
      <c r="C4114" s="35"/>
      <c r="D4114" s="35"/>
      <c r="E4114" s="35"/>
      <c r="F4114" s="35"/>
      <c r="G4114" s="35"/>
      <c r="H4114" s="35"/>
      <c r="I4114" s="36">
        <f>J4110+J4111+J4112</f>
        <v>259.23</v>
      </c>
      <c r="J4114" s="36"/>
      <c r="K4114" s="37">
        <f>IF([1]Source!I5134&lt;&gt;0, ROUND(I4114/[1]Source!I5134, 2), 0)</f>
        <v>28675.88</v>
      </c>
      <c r="M4114"/>
      <c r="N4114"/>
      <c r="O4114"/>
      <c r="P4114"/>
      <c r="Q4114"/>
      <c r="AA4114" s="38">
        <f>I4114</f>
        <v>259.23</v>
      </c>
    </row>
    <row r="4115" spans="1:33" ht="28.5" x14ac:dyDescent="0.2">
      <c r="A4115" s="31">
        <v>515</v>
      </c>
      <c r="B4115" s="31" t="str">
        <f>[1]Source!F5135</f>
        <v>калькуляция</v>
      </c>
      <c r="C4115" s="31" t="str">
        <f>[1]Source!G5135</f>
        <v>Посыпка гранитной крошкой дорожных покрытий вручную( 100г/м2 )</v>
      </c>
      <c r="D4115" s="32" t="str">
        <f>[1]Source!H5135</f>
        <v>м2</v>
      </c>
      <c r="E4115" s="4">
        <f>[1]Source!I5135</f>
        <v>9.0399999999999991</v>
      </c>
      <c r="F4115" s="33"/>
      <c r="G4115" s="34"/>
      <c r="H4115" s="4"/>
      <c r="I4115" s="4"/>
      <c r="J4115" s="33"/>
      <c r="K4115" s="33"/>
      <c r="M4115"/>
      <c r="N4115"/>
      <c r="O4115"/>
      <c r="P4115"/>
      <c r="Q4115"/>
      <c r="AB4115">
        <f>ROUND(([1]Source!BZ5135/100)*ROUND(([1]Source!AF5135*[1]Source!AV5135)*[1]Source!I5135, 2), 2)</f>
        <v>0</v>
      </c>
      <c r="AC4115">
        <f>[1]Source!X5135</f>
        <v>0</v>
      </c>
      <c r="AD4115">
        <f>ROUND(([1]Source!CA5135/100)*ROUND(([1]Source!AF5135*[1]Source!AV5135)*[1]Source!I5135, 2), 2)</f>
        <v>0</v>
      </c>
      <c r="AE4115">
        <f>[1]Source!Y5135</f>
        <v>0</v>
      </c>
      <c r="AF4115">
        <f>ROUND((175/100)*ROUND(([1]Source!AE5135*[1]Source!AV5135)*[1]Source!I5135, 2), 2)</f>
        <v>0</v>
      </c>
      <c r="AG4115">
        <f>ROUND((108/100)*ROUND([1]Source!CS5135*[1]Source!I5135, 2), 2)</f>
        <v>0</v>
      </c>
    </row>
    <row r="4116" spans="1:33" ht="14.25" x14ac:dyDescent="0.2">
      <c r="A4116" s="31"/>
      <c r="B4116" s="31"/>
      <c r="C4116" s="31" t="s">
        <v>34</v>
      </c>
      <c r="D4116" s="32"/>
      <c r="E4116" s="4"/>
      <c r="F4116" s="33">
        <f>[1]Source!AO5135</f>
        <v>2.08</v>
      </c>
      <c r="G4116" s="34" t="str">
        <f>[1]Source!DG5135</f>
        <v>)*4*168</v>
      </c>
      <c r="H4116" s="4">
        <f>[1]Source!AV5135</f>
        <v>1</v>
      </c>
      <c r="I4116" s="4">
        <f>IF([1]Source!BA5135&lt;&gt; 0, [1]Source!BA5135, 1)</f>
        <v>1</v>
      </c>
      <c r="J4116" s="33">
        <f>[1]Source!S5135</f>
        <v>12635.75</v>
      </c>
      <c r="K4116" s="33"/>
      <c r="M4116"/>
      <c r="N4116"/>
      <c r="O4116"/>
      <c r="P4116"/>
      <c r="Q4116"/>
    </row>
    <row r="4117" spans="1:33" ht="14.25" x14ac:dyDescent="0.2">
      <c r="A4117" s="31" t="s">
        <v>194</v>
      </c>
      <c r="B4117" s="31" t="str">
        <f>[1]Source!F5136</f>
        <v>цена поставщика</v>
      </c>
      <c r="C4117" s="31" t="str">
        <f>[1]Source!G5136</f>
        <v>Крошка гранитная</v>
      </c>
      <c r="D4117" s="32" t="str">
        <f>[1]Source!H5136</f>
        <v>кг</v>
      </c>
      <c r="E4117" s="4">
        <f>[1]Source!I5136</f>
        <v>607.48800000000006</v>
      </c>
      <c r="F4117" s="33">
        <f>[1]Source!AK5136</f>
        <v>4.43</v>
      </c>
      <c r="G4117" s="39" t="s">
        <v>45</v>
      </c>
      <c r="H4117" s="4">
        <f>[1]Source!AW5136</f>
        <v>1</v>
      </c>
      <c r="I4117" s="4">
        <f>IF([1]Source!BC5136&lt;&gt; 0, [1]Source!BC5136, 1)</f>
        <v>1</v>
      </c>
      <c r="J4117" s="33">
        <f>[1]Source!O5136</f>
        <v>2691.17</v>
      </c>
      <c r="K4117" s="33"/>
      <c r="M4117"/>
      <c r="N4117"/>
      <c r="O4117"/>
      <c r="P4117"/>
      <c r="Q4117"/>
      <c r="AB4117">
        <f>ROUND(([1]Source!BZ5136/100)*ROUND(([1]Source!AF5136*[1]Source!AV5136)*[1]Source!I5136, 2), 2)</f>
        <v>0</v>
      </c>
      <c r="AC4117">
        <f>[1]Source!X5136</f>
        <v>0</v>
      </c>
      <c r="AD4117">
        <f>ROUND(([1]Source!CA5136/100)*ROUND(([1]Source!AF5136*[1]Source!AV5136)*[1]Source!I5136, 2), 2)</f>
        <v>0</v>
      </c>
      <c r="AE4117">
        <f>[1]Source!Y5136</f>
        <v>0</v>
      </c>
      <c r="AF4117">
        <f>ROUND((175/100)*ROUND(([1]Source!AE5136*[1]Source!AV5136)*[1]Source!I5136, 2), 2)</f>
        <v>0</v>
      </c>
      <c r="AG4117">
        <f>ROUND((108/100)*ROUND([1]Source!CS5136*[1]Source!I5136, 2), 2)</f>
        <v>0</v>
      </c>
    </row>
    <row r="4118" spans="1:33" ht="15" x14ac:dyDescent="0.25">
      <c r="A4118" s="35"/>
      <c r="B4118" s="35"/>
      <c r="C4118" s="35"/>
      <c r="D4118" s="35"/>
      <c r="E4118" s="35"/>
      <c r="F4118" s="35"/>
      <c r="G4118" s="35"/>
      <c r="H4118" s="35"/>
      <c r="I4118" s="36">
        <f>J4116+SUM(J4117:J4117)</f>
        <v>15326.92</v>
      </c>
      <c r="J4118" s="36"/>
      <c r="K4118" s="37">
        <f>IF([1]Source!I5135&lt;&gt;0, ROUND(I4118/[1]Source!I5135, 2), 0)</f>
        <v>1695.46</v>
      </c>
      <c r="M4118"/>
      <c r="N4118"/>
      <c r="O4118"/>
      <c r="P4118"/>
      <c r="Q4118"/>
      <c r="AA4118" s="38">
        <f>I4118</f>
        <v>15326.92</v>
      </c>
    </row>
    <row r="4119" spans="1:33" x14ac:dyDescent="0.2">
      <c r="M4119"/>
      <c r="N4119"/>
      <c r="O4119"/>
      <c r="P4119"/>
      <c r="Q4119"/>
    </row>
    <row r="4120" spans="1:33" ht="15" x14ac:dyDescent="0.25">
      <c r="A4120" s="42" t="str">
        <f>CONCATENATE("Итого по подразделу: ",IF([1]Source!G5138&lt;&gt;"Новый подраздел", [1]Source!G5138, ""))</f>
        <v>Итого по подразделу: Содержание лестниц</v>
      </c>
      <c r="B4120" s="42"/>
      <c r="C4120" s="42"/>
      <c r="D4120" s="42"/>
      <c r="E4120" s="42"/>
      <c r="F4120" s="42"/>
      <c r="G4120" s="42"/>
      <c r="H4120" s="42"/>
      <c r="I4120" s="43">
        <f>SUM(AA4097:AA4119)</f>
        <v>43899.78</v>
      </c>
      <c r="J4120" s="44"/>
      <c r="K4120" s="47"/>
      <c r="L4120" s="38">
        <f>I4120</f>
        <v>43899.78</v>
      </c>
      <c r="M4120" s="2">
        <f>ROUND(I4120*$I$4874,2)</f>
        <v>31704.720000000001</v>
      </c>
      <c r="N4120" s="2">
        <f>ROUND(M4120*1.2/105*100,2)</f>
        <v>36233.97</v>
      </c>
      <c r="O4120" s="2">
        <f>ROUND(N4120*0.05,2)</f>
        <v>1811.7</v>
      </c>
      <c r="P4120" s="2">
        <f>N4120+O4120</f>
        <v>38045.67</v>
      </c>
      <c r="Q4120" s="3">
        <v>25</v>
      </c>
      <c r="S4120" s="2">
        <v>6954.68</v>
      </c>
    </row>
    <row r="4121" spans="1:33" x14ac:dyDescent="0.2">
      <c r="M4121"/>
      <c r="N4121"/>
      <c r="O4121"/>
      <c r="P4121"/>
      <c r="Q4121"/>
    </row>
    <row r="4122" spans="1:33" x14ac:dyDescent="0.2">
      <c r="M4122"/>
      <c r="N4122"/>
      <c r="O4122"/>
      <c r="P4122"/>
      <c r="Q4122"/>
    </row>
    <row r="4123" spans="1:33" ht="16.5" x14ac:dyDescent="0.25">
      <c r="A4123" s="29" t="str">
        <f>CONCATENATE("Подраздел: ",IF([1]Source!G5168&lt;&gt;"Новый подраздел", [1]Source!G5168, ""))</f>
        <v>Подраздел: Уход за подпорными стенками</v>
      </c>
      <c r="B4123" s="29"/>
      <c r="C4123" s="29"/>
      <c r="D4123" s="29"/>
      <c r="E4123" s="29"/>
      <c r="F4123" s="29"/>
      <c r="G4123" s="29"/>
      <c r="H4123" s="29"/>
      <c r="I4123" s="29"/>
      <c r="J4123" s="29"/>
      <c r="K4123" s="29"/>
      <c r="M4123"/>
      <c r="N4123"/>
      <c r="O4123"/>
      <c r="P4123"/>
      <c r="Q4123"/>
    </row>
    <row r="4124" spans="1:33" ht="14.25" x14ac:dyDescent="0.2">
      <c r="A4124" s="31">
        <v>516</v>
      </c>
      <c r="B4124" s="31" t="str">
        <f>[1]Source!F5172</f>
        <v>калькуляция</v>
      </c>
      <c r="C4124" s="31" t="str">
        <f>[1]Source!G5172</f>
        <v>Очистка от снега  подпорных стенок</v>
      </c>
      <c r="D4124" s="32" t="str">
        <f>[1]Source!H5172</f>
        <v>м2</v>
      </c>
      <c r="E4124" s="4">
        <f>[1]Source!I5172</f>
        <v>12.7</v>
      </c>
      <c r="F4124" s="33"/>
      <c r="G4124" s="34"/>
      <c r="H4124" s="4"/>
      <c r="I4124" s="4"/>
      <c r="J4124" s="33"/>
      <c r="K4124" s="33"/>
      <c r="M4124"/>
      <c r="N4124"/>
      <c r="O4124"/>
      <c r="P4124"/>
      <c r="Q4124"/>
      <c r="AB4124">
        <f>ROUND(([1]Source!BZ5172/100)*ROUND(([1]Source!AF5172*[1]Source!AV5172)*[1]Source!I5172, 2), 2)</f>
        <v>0</v>
      </c>
      <c r="AC4124">
        <f>[1]Source!X5172</f>
        <v>0</v>
      </c>
      <c r="AD4124">
        <f>ROUND(([1]Source!CA5172/100)*ROUND(([1]Source!AF5172*[1]Source!AV5172)*[1]Source!I5172, 2), 2)</f>
        <v>0</v>
      </c>
      <c r="AE4124">
        <f>[1]Source!Y5172</f>
        <v>0</v>
      </c>
      <c r="AF4124">
        <f>ROUND((175/100)*ROUND(([1]Source!AE5172*[1]Source!AV5172)*[1]Source!I5172, 2), 2)</f>
        <v>0</v>
      </c>
      <c r="AG4124">
        <f>ROUND((108/100)*ROUND([1]Source!CS5172*[1]Source!I5172, 2), 2)</f>
        <v>0</v>
      </c>
    </row>
    <row r="4125" spans="1:33" ht="14.25" x14ac:dyDescent="0.2">
      <c r="A4125" s="31"/>
      <c r="B4125" s="31"/>
      <c r="C4125" s="31" t="s">
        <v>34</v>
      </c>
      <c r="D4125" s="32"/>
      <c r="E4125" s="4"/>
      <c r="F4125" s="33">
        <f>[1]Source!AO5172</f>
        <v>3.45</v>
      </c>
      <c r="G4125" s="34" t="str">
        <f>[1]Source!DG5172</f>
        <v>)*1*10</v>
      </c>
      <c r="H4125" s="4">
        <f>[1]Source!AV5172</f>
        <v>1</v>
      </c>
      <c r="I4125" s="4">
        <f>IF([1]Source!BA5172&lt;&gt; 0, [1]Source!BA5172, 1)</f>
        <v>1</v>
      </c>
      <c r="J4125" s="33">
        <f>[1]Source!S5172</f>
        <v>438.15</v>
      </c>
      <c r="K4125" s="33"/>
      <c r="M4125"/>
      <c r="N4125"/>
      <c r="O4125"/>
      <c r="P4125"/>
      <c r="Q4125"/>
    </row>
    <row r="4126" spans="1:33" ht="15" x14ac:dyDescent="0.25">
      <c r="A4126" s="35"/>
      <c r="B4126" s="35"/>
      <c r="C4126" s="35"/>
      <c r="D4126" s="35"/>
      <c r="E4126" s="35"/>
      <c r="F4126" s="35"/>
      <c r="G4126" s="35"/>
      <c r="H4126" s="35"/>
      <c r="I4126" s="36">
        <f>J4125</f>
        <v>438.15</v>
      </c>
      <c r="J4126" s="36"/>
      <c r="K4126" s="37">
        <f>IF([1]Source!I5172&lt;&gt;0, ROUND(I4126/[1]Source!I5172, 2), 0)</f>
        <v>34.5</v>
      </c>
      <c r="M4126"/>
      <c r="N4126"/>
      <c r="O4126"/>
      <c r="P4126"/>
      <c r="Q4126"/>
      <c r="AA4126" s="38">
        <f>I4126</f>
        <v>438.15</v>
      </c>
    </row>
    <row r="4127" spans="1:33" x14ac:dyDescent="0.2">
      <c r="M4127"/>
      <c r="N4127"/>
      <c r="O4127"/>
      <c r="P4127"/>
      <c r="Q4127"/>
    </row>
    <row r="4128" spans="1:33" ht="15" x14ac:dyDescent="0.25">
      <c r="A4128" s="42" t="str">
        <f>CONCATENATE("Итого по подразделу: ",IF([1]Source!G5174&lt;&gt;"Новый подраздел", [1]Source!G5174, ""))</f>
        <v>Итого по подразделу: Уход за подпорными стенками</v>
      </c>
      <c r="B4128" s="42"/>
      <c r="C4128" s="42"/>
      <c r="D4128" s="42"/>
      <c r="E4128" s="42"/>
      <c r="F4128" s="42"/>
      <c r="G4128" s="42"/>
      <c r="H4128" s="42"/>
      <c r="I4128" s="43">
        <f>SUM(AA4123:AA4127)</f>
        <v>438.15</v>
      </c>
      <c r="J4128" s="44"/>
      <c r="K4128" s="47"/>
      <c r="L4128" s="38">
        <f>I4128</f>
        <v>438.15</v>
      </c>
      <c r="M4128" s="2">
        <f>ROUND(I4128*$I$4874,2)</f>
        <v>316.43</v>
      </c>
      <c r="N4128" s="2">
        <f>ROUND(M4128*1.2/105*100,2)</f>
        <v>361.63</v>
      </c>
      <c r="O4128" s="2">
        <f>ROUND(N4128*0.05,2)</f>
        <v>18.079999999999998</v>
      </c>
      <c r="P4128" s="2">
        <f>N4128+O4128+0.01</f>
        <v>379.71999999999997</v>
      </c>
      <c r="Q4128" s="3">
        <v>43</v>
      </c>
      <c r="S4128" s="2">
        <v>75.95</v>
      </c>
    </row>
    <row r="4129" spans="1:43" x14ac:dyDescent="0.2">
      <c r="M4129"/>
      <c r="N4129"/>
      <c r="O4129"/>
      <c r="P4129"/>
      <c r="Q4129"/>
    </row>
    <row r="4130" spans="1:43" x14ac:dyDescent="0.2">
      <c r="M4130"/>
      <c r="N4130"/>
      <c r="O4130"/>
      <c r="P4130"/>
      <c r="Q4130"/>
    </row>
    <row r="4131" spans="1:43" ht="30" x14ac:dyDescent="0.25">
      <c r="A4131" s="42" t="str">
        <f>CONCATENATE("Итого по разделу: ",IF([1]Source!G5204&lt;&gt;"Новый раздел", [1]Source!G5204, ""))</f>
        <v>Итого по разделу: Содержание покрытий тротуара "  Храма зачатия правденной Анны" ( наб. Москворецкая, д.3)</v>
      </c>
      <c r="B4131" s="42"/>
      <c r="C4131" s="42"/>
      <c r="D4131" s="42"/>
      <c r="E4131" s="42"/>
      <c r="F4131" s="42"/>
      <c r="G4131" s="42"/>
      <c r="H4131" s="42"/>
      <c r="I4131" s="43">
        <f>SUM(AA4030:AA4130)</f>
        <v>530931.98</v>
      </c>
      <c r="J4131" s="44"/>
      <c r="K4131" s="47"/>
      <c r="L4131" s="38">
        <f>I4131</f>
        <v>530931.98</v>
      </c>
      <c r="M4131" s="2">
        <f>M4094+M4120+M4128</f>
        <v>383442.7</v>
      </c>
      <c r="N4131" s="2">
        <f>N4094+N4120+N4128</f>
        <v>438220.23</v>
      </c>
      <c r="O4131" s="2">
        <f>ROUND(N4131*0.05,2)</f>
        <v>21911.01</v>
      </c>
      <c r="P4131" s="2">
        <f>SUM(P4094:P4128)</f>
        <v>460131.24999999994</v>
      </c>
      <c r="Q4131" s="48"/>
      <c r="R4131">
        <v>2</v>
      </c>
      <c r="AQ4131" s="46" t="str">
        <f>CONCATENATE("Итого по разделу: ",IF([1]Source!G5204&lt;&gt;"Новый раздел", [1]Source!G5204, ""))</f>
        <v>Итого по разделу: Содержание покрытий тротуара "  Храма зачатия правденной Анны" ( наб. Москворецкая, д.3)</v>
      </c>
    </row>
    <row r="4132" spans="1:43" x14ac:dyDescent="0.2">
      <c r="M4132"/>
      <c r="N4132"/>
      <c r="O4132"/>
      <c r="P4132"/>
      <c r="Q4132"/>
    </row>
    <row r="4133" spans="1:43" x14ac:dyDescent="0.2">
      <c r="M4133"/>
      <c r="N4133"/>
      <c r="O4133"/>
      <c r="P4133"/>
      <c r="Q4133"/>
    </row>
    <row r="4134" spans="1:43" ht="16.5" x14ac:dyDescent="0.25">
      <c r="A4134" s="29" t="str">
        <f>CONCATENATE("Раздел: ",IF([1]Source!G5234&lt;&gt;"Новый раздел", [1]Source!G5234, ""))</f>
        <v>Раздел: Китайгородский проезд ( S=573,66 м2 ).</v>
      </c>
      <c r="B4134" s="29"/>
      <c r="C4134" s="29"/>
      <c r="D4134" s="29"/>
      <c r="E4134" s="29"/>
      <c r="F4134" s="29"/>
      <c r="G4134" s="29"/>
      <c r="H4134" s="29"/>
      <c r="I4134" s="29"/>
      <c r="J4134" s="29"/>
      <c r="K4134" s="29"/>
      <c r="M4134"/>
      <c r="N4134"/>
      <c r="O4134"/>
      <c r="P4134"/>
      <c r="Q4134"/>
    </row>
    <row r="4135" spans="1:43" x14ac:dyDescent="0.2">
      <c r="M4135"/>
      <c r="N4135"/>
      <c r="O4135"/>
      <c r="P4135"/>
      <c r="Q4135"/>
    </row>
    <row r="4136" spans="1:43" ht="16.5" x14ac:dyDescent="0.25">
      <c r="A4136" s="29" t="str">
        <f>CONCATENATE("Подраздел: ",IF([1]Source!G5238&lt;&gt;"Новый подраздел", [1]Source!G5238, ""))</f>
        <v>Подраздел: Содержание покрытий ( S=573,66 м2)..</v>
      </c>
      <c r="B4136" s="29"/>
      <c r="C4136" s="29"/>
      <c r="D4136" s="29"/>
      <c r="E4136" s="29"/>
      <c r="F4136" s="29"/>
      <c r="G4136" s="29"/>
      <c r="H4136" s="29"/>
      <c r="I4136" s="29"/>
      <c r="J4136" s="29"/>
      <c r="K4136" s="29"/>
      <c r="M4136"/>
      <c r="N4136"/>
      <c r="O4136"/>
      <c r="P4136"/>
      <c r="Q4136"/>
    </row>
    <row r="4137" spans="1:43" ht="28.5" x14ac:dyDescent="0.2">
      <c r="A4137" s="31">
        <v>517</v>
      </c>
      <c r="B4137" s="31" t="str">
        <f>[1]Source!F5242</f>
        <v>калькуляция</v>
      </c>
      <c r="C4137" s="31" t="str">
        <f>[1]Source!G5242</f>
        <v>Подметание дорожек  вручную ( S=573,66м2)</v>
      </c>
      <c r="D4137" s="32" t="str">
        <f>[1]Source!H5242</f>
        <v>м2</v>
      </c>
      <c r="E4137" s="4">
        <f>[1]Source!I5242</f>
        <v>573.66</v>
      </c>
      <c r="F4137" s="33"/>
      <c r="G4137" s="34"/>
      <c r="H4137" s="4"/>
      <c r="I4137" s="4"/>
      <c r="J4137" s="33"/>
      <c r="K4137" s="33"/>
      <c r="M4137"/>
      <c r="N4137"/>
      <c r="O4137"/>
      <c r="P4137"/>
      <c r="Q4137"/>
      <c r="AB4137">
        <f>ROUND(([1]Source!BZ5242/100)*ROUND(([1]Source!AF5242*[1]Source!AV5242)*[1]Source!I5242, 2), 2)</f>
        <v>0</v>
      </c>
      <c r="AC4137">
        <f>[1]Source!X5242</f>
        <v>0</v>
      </c>
      <c r="AD4137">
        <f>ROUND(([1]Source!CA5242/100)*ROUND(([1]Source!AF5242*[1]Source!AV5242)*[1]Source!I5242, 2), 2)</f>
        <v>0</v>
      </c>
      <c r="AE4137">
        <f>[1]Source!Y5242</f>
        <v>0</v>
      </c>
      <c r="AF4137">
        <f>ROUND((175/100)*ROUND(([1]Source!AE5242*[1]Source!AV5242)*[1]Source!I5242, 2), 2)</f>
        <v>0</v>
      </c>
      <c r="AG4137">
        <f>ROUND((108/100)*ROUND([1]Source!CS5242*[1]Source!I5242, 2), 2)</f>
        <v>0</v>
      </c>
    </row>
    <row r="4138" spans="1:43" ht="14.25" x14ac:dyDescent="0.2">
      <c r="A4138" s="31"/>
      <c r="B4138" s="31"/>
      <c r="C4138" s="31" t="s">
        <v>34</v>
      </c>
      <c r="D4138" s="32"/>
      <c r="E4138" s="4"/>
      <c r="F4138" s="33">
        <f>[1]Source!AO5242</f>
        <v>1.32</v>
      </c>
      <c r="G4138" s="34" t="str">
        <f>[1]Source!DG5242</f>
        <v>)*4*164</v>
      </c>
      <c r="H4138" s="4">
        <f>[1]Source!AV5242</f>
        <v>1</v>
      </c>
      <c r="I4138" s="4">
        <f>IF([1]Source!BA5242&lt;&gt; 0, [1]Source!BA5242, 1)</f>
        <v>1</v>
      </c>
      <c r="J4138" s="33">
        <f>[1]Source!S5242</f>
        <v>496743.67</v>
      </c>
      <c r="K4138" s="33"/>
      <c r="M4138"/>
      <c r="N4138"/>
      <c r="O4138"/>
      <c r="P4138"/>
      <c r="Q4138"/>
    </row>
    <row r="4139" spans="1:43" ht="15" x14ac:dyDescent="0.25">
      <c r="A4139" s="35"/>
      <c r="B4139" s="35"/>
      <c r="C4139" s="35"/>
      <c r="D4139" s="35"/>
      <c r="E4139" s="35"/>
      <c r="F4139" s="35"/>
      <c r="G4139" s="35"/>
      <c r="H4139" s="35"/>
      <c r="I4139" s="36">
        <f>J4138</f>
        <v>496743.67</v>
      </c>
      <c r="J4139" s="36"/>
      <c r="K4139" s="37">
        <f>IF([1]Source!I5242&lt;&gt;0, ROUND(I4139/[1]Source!I5242, 2), 0)</f>
        <v>865.92</v>
      </c>
      <c r="M4139"/>
      <c r="N4139"/>
      <c r="O4139"/>
      <c r="P4139"/>
      <c r="Q4139"/>
      <c r="AA4139" s="38">
        <f>I4139</f>
        <v>496743.67</v>
      </c>
    </row>
    <row r="4140" spans="1:43" ht="42.75" x14ac:dyDescent="0.2">
      <c r="A4140" s="31">
        <v>518</v>
      </c>
      <c r="B4140" s="31" t="str">
        <f>[1]Source!F5243</f>
        <v>5.3-1102-8-1/1</v>
      </c>
      <c r="C4140" s="31" t="str">
        <f>[1]Source!G5243</f>
        <v>Уборка свежевыпавшего снега вручную толщиной слоя до 10 см ( 573,66 м2 * 0,8*0,7*0,5 = 160,62м2 )</v>
      </c>
      <c r="D4140" s="32" t="str">
        <f>[1]Source!H5243</f>
        <v>100 м2</v>
      </c>
      <c r="E4140" s="4">
        <f>[1]Source!I5243</f>
        <v>1.6062000000000001</v>
      </c>
      <c r="F4140" s="33"/>
      <c r="G4140" s="34"/>
      <c r="H4140" s="4"/>
      <c r="I4140" s="4"/>
      <c r="J4140" s="33"/>
      <c r="K4140" s="33"/>
      <c r="M4140"/>
      <c r="N4140"/>
      <c r="O4140"/>
      <c r="P4140"/>
      <c r="Q4140"/>
      <c r="AB4140">
        <f>ROUND(([1]Source!BZ5243/100)*ROUND(([1]Source!AF5243*[1]Source!AV5243)*[1]Source!I5243, 2), 2)</f>
        <v>121757.93</v>
      </c>
      <c r="AC4140">
        <f>[1]Source!X5243</f>
        <v>121757.93</v>
      </c>
      <c r="AD4140">
        <f>ROUND(([1]Source!CA5243/100)*ROUND(([1]Source!AF5243*[1]Source!AV5243)*[1]Source!I5243, 2), 2)</f>
        <v>17393.990000000002</v>
      </c>
      <c r="AE4140">
        <f>[1]Source!Y5243</f>
        <v>17393.990000000002</v>
      </c>
      <c r="AF4140">
        <f>ROUND((175/100)*ROUND(([1]Source!AE5243*[1]Source!AV5243)*[1]Source!I5243, 2), 2)</f>
        <v>0</v>
      </c>
      <c r="AG4140">
        <f>ROUND((108/100)*ROUND([1]Source!CS5243*[1]Source!I5243, 2), 2)</f>
        <v>0</v>
      </c>
    </row>
    <row r="4141" spans="1:43" x14ac:dyDescent="0.2">
      <c r="C4141" s="40" t="str">
        <f>"Объем: "&amp;[1]Source!I5243&amp;"=160,62/"&amp;"100"</f>
        <v>Объем: 1,6062=160,62/100</v>
      </c>
      <c r="M4141"/>
      <c r="N4141"/>
      <c r="O4141"/>
      <c r="P4141"/>
      <c r="Q4141"/>
    </row>
    <row r="4142" spans="1:43" ht="14.25" x14ac:dyDescent="0.2">
      <c r="A4142" s="31"/>
      <c r="B4142" s="31"/>
      <c r="C4142" s="31" t="s">
        <v>34</v>
      </c>
      <c r="D4142" s="32"/>
      <c r="E4142" s="4"/>
      <c r="F4142" s="33">
        <f>[1]Source!AO5243</f>
        <v>161.15</v>
      </c>
      <c r="G4142" s="34" t="str">
        <f>[1]Source!DG5243</f>
        <v>)*4*168</v>
      </c>
      <c r="H4142" s="4">
        <f>[1]Source!AV5243</f>
        <v>1</v>
      </c>
      <c r="I4142" s="4">
        <f>IF([1]Source!BA5243&lt;&gt; 0, [1]Source!BA5243, 1)</f>
        <v>1</v>
      </c>
      <c r="J4142" s="33">
        <f>[1]Source!S5243</f>
        <v>173939.9</v>
      </c>
      <c r="K4142" s="33"/>
      <c r="M4142"/>
      <c r="N4142"/>
      <c r="O4142"/>
      <c r="P4142"/>
      <c r="Q4142"/>
    </row>
    <row r="4143" spans="1:43" ht="14.25" x14ac:dyDescent="0.2">
      <c r="A4143" s="31"/>
      <c r="B4143" s="31"/>
      <c r="C4143" s="31" t="s">
        <v>40</v>
      </c>
      <c r="D4143" s="32" t="s">
        <v>39</v>
      </c>
      <c r="E4143" s="4">
        <f>[1]Source!AT5243</f>
        <v>70</v>
      </c>
      <c r="F4143" s="33"/>
      <c r="G4143" s="34"/>
      <c r="H4143" s="4"/>
      <c r="I4143" s="4"/>
      <c r="J4143" s="33">
        <f>SUM(AC4140:AC4142)</f>
        <v>121757.93</v>
      </c>
      <c r="K4143" s="33"/>
      <c r="M4143"/>
      <c r="N4143"/>
      <c r="O4143"/>
      <c r="P4143"/>
      <c r="Q4143"/>
    </row>
    <row r="4144" spans="1:43" ht="14.25" x14ac:dyDescent="0.2">
      <c r="A4144" s="31"/>
      <c r="B4144" s="31"/>
      <c r="C4144" s="31" t="s">
        <v>41</v>
      </c>
      <c r="D4144" s="32" t="s">
        <v>39</v>
      </c>
      <c r="E4144" s="4">
        <f>[1]Source!AU5243</f>
        <v>10</v>
      </c>
      <c r="F4144" s="33"/>
      <c r="G4144" s="34"/>
      <c r="H4144" s="4"/>
      <c r="I4144" s="4"/>
      <c r="J4144" s="33">
        <f>SUM(AE4140:AE4143)</f>
        <v>17393.990000000002</v>
      </c>
      <c r="K4144" s="33"/>
      <c r="M4144"/>
      <c r="N4144"/>
      <c r="O4144"/>
      <c r="P4144"/>
      <c r="Q4144"/>
    </row>
    <row r="4145" spans="1:33" ht="14.25" x14ac:dyDescent="0.2">
      <c r="A4145" s="31"/>
      <c r="B4145" s="31"/>
      <c r="C4145" s="31" t="s">
        <v>42</v>
      </c>
      <c r="D4145" s="32" t="s">
        <v>43</v>
      </c>
      <c r="E4145" s="4">
        <f>[1]Source!AQ5243</f>
        <v>0.65</v>
      </c>
      <c r="F4145" s="33"/>
      <c r="G4145" s="34" t="str">
        <f>[1]Source!DI5243</f>
        <v>)*4*168</v>
      </c>
      <c r="H4145" s="4">
        <f>[1]Source!AV5243</f>
        <v>1</v>
      </c>
      <c r="I4145" s="4"/>
      <c r="J4145" s="33"/>
      <c r="K4145" s="33">
        <f>[1]Source!U5243</f>
        <v>701.58816000000002</v>
      </c>
      <c r="M4145"/>
      <c r="N4145"/>
      <c r="O4145"/>
      <c r="P4145"/>
      <c r="Q4145"/>
    </row>
    <row r="4146" spans="1:33" ht="15" x14ac:dyDescent="0.25">
      <c r="A4146" s="35"/>
      <c r="B4146" s="35"/>
      <c r="C4146" s="35"/>
      <c r="D4146" s="35"/>
      <c r="E4146" s="35"/>
      <c r="F4146" s="35"/>
      <c r="G4146" s="35"/>
      <c r="H4146" s="35"/>
      <c r="I4146" s="36">
        <f>J4142+J4143+J4144</f>
        <v>313091.81999999995</v>
      </c>
      <c r="J4146" s="36"/>
      <c r="K4146" s="37">
        <f>IF([1]Source!I5243&lt;&gt;0, ROUND(I4146/[1]Source!I5243, 2), 0)</f>
        <v>194927.05</v>
      </c>
      <c r="M4146"/>
      <c r="N4146"/>
      <c r="O4146"/>
      <c r="P4146"/>
      <c r="Q4146"/>
      <c r="AA4146" s="38">
        <f>I4146</f>
        <v>313091.81999999995</v>
      </c>
    </row>
    <row r="4147" spans="1:33" ht="42.75" x14ac:dyDescent="0.2">
      <c r="A4147" s="31">
        <v>519</v>
      </c>
      <c r="B4147" s="31" t="str">
        <f>[1]Source!F5244</f>
        <v>5.3-1102-8-3/1</v>
      </c>
      <c r="C4147" s="31" t="str">
        <f>[1]Source!G5244</f>
        <v>Уборка слежавшегося снега вручную(S=573,66 м2*0,8*0,7*0,5=160,62м2)</v>
      </c>
      <c r="D4147" s="32" t="str">
        <f>[1]Source!H5244</f>
        <v>100 м2</v>
      </c>
      <c r="E4147" s="4">
        <f>[1]Source!I5244</f>
        <v>1.6062000000000001</v>
      </c>
      <c r="F4147" s="33"/>
      <c r="G4147" s="34"/>
      <c r="H4147" s="4"/>
      <c r="I4147" s="4"/>
      <c r="J4147" s="33"/>
      <c r="K4147" s="33"/>
      <c r="M4147"/>
      <c r="N4147"/>
      <c r="O4147"/>
      <c r="P4147"/>
      <c r="Q4147"/>
      <c r="AB4147">
        <f>ROUND(([1]Source!BZ5244/100)*ROUND(([1]Source!AF5244*[1]Source!AV5244)*[1]Source!I5244, 2), 2)</f>
        <v>71651.31</v>
      </c>
      <c r="AC4147">
        <f>[1]Source!X5244</f>
        <v>71651.31</v>
      </c>
      <c r="AD4147">
        <f>ROUND(([1]Source!CA5244/100)*ROUND(([1]Source!AF5244*[1]Source!AV5244)*[1]Source!I5244, 2), 2)</f>
        <v>10235.9</v>
      </c>
      <c r="AE4147">
        <f>[1]Source!Y5244</f>
        <v>10235.9</v>
      </c>
      <c r="AF4147">
        <f>ROUND((175/100)*ROUND(([1]Source!AE5244*[1]Source!AV5244)*[1]Source!I5244, 2), 2)</f>
        <v>0</v>
      </c>
      <c r="AG4147">
        <f>ROUND((108/100)*ROUND([1]Source!CS5244*[1]Source!I5244, 2), 2)</f>
        <v>0</v>
      </c>
    </row>
    <row r="4148" spans="1:33" x14ac:dyDescent="0.2">
      <c r="C4148" s="40" t="str">
        <f>"Объем: "&amp;[1]Source!I5244&amp;"=160,62/"&amp;"100"</f>
        <v>Объем: 1,6062=160,62/100</v>
      </c>
      <c r="M4148"/>
      <c r="N4148"/>
      <c r="O4148"/>
      <c r="P4148"/>
      <c r="Q4148"/>
    </row>
    <row r="4149" spans="1:33" ht="14.25" x14ac:dyDescent="0.2">
      <c r="A4149" s="31"/>
      <c r="B4149" s="31"/>
      <c r="C4149" s="31" t="s">
        <v>34</v>
      </c>
      <c r="D4149" s="32"/>
      <c r="E4149" s="4"/>
      <c r="F4149" s="33">
        <f>[1]Source!AO5244</f>
        <v>379.33</v>
      </c>
      <c r="G4149" s="34" t="str">
        <f>[1]Source!DG5244</f>
        <v>)*1*168</v>
      </c>
      <c r="H4149" s="4">
        <f>[1]Source!AV5244</f>
        <v>1</v>
      </c>
      <c r="I4149" s="4">
        <f>IF([1]Source!BA5244&lt;&gt; 0, [1]Source!BA5244, 1)</f>
        <v>1</v>
      </c>
      <c r="J4149" s="33">
        <f>[1]Source!S5244</f>
        <v>102359.01</v>
      </c>
      <c r="K4149" s="33"/>
      <c r="M4149"/>
      <c r="N4149"/>
      <c r="O4149"/>
      <c r="P4149"/>
      <c r="Q4149"/>
    </row>
    <row r="4150" spans="1:33" ht="14.25" x14ac:dyDescent="0.2">
      <c r="A4150" s="31"/>
      <c r="B4150" s="31"/>
      <c r="C4150" s="31" t="s">
        <v>40</v>
      </c>
      <c r="D4150" s="32" t="s">
        <v>39</v>
      </c>
      <c r="E4150" s="4">
        <f>[1]Source!AT5244</f>
        <v>70</v>
      </c>
      <c r="F4150" s="33"/>
      <c r="G4150" s="34"/>
      <c r="H4150" s="4"/>
      <c r="I4150" s="4"/>
      <c r="J4150" s="33">
        <f>SUM(AC4147:AC4149)</f>
        <v>71651.31</v>
      </c>
      <c r="K4150" s="33"/>
      <c r="M4150"/>
      <c r="N4150"/>
      <c r="O4150"/>
      <c r="P4150"/>
      <c r="Q4150"/>
    </row>
    <row r="4151" spans="1:33" ht="14.25" x14ac:dyDescent="0.2">
      <c r="A4151" s="31"/>
      <c r="B4151" s="31"/>
      <c r="C4151" s="31" t="s">
        <v>41</v>
      </c>
      <c r="D4151" s="32" t="s">
        <v>39</v>
      </c>
      <c r="E4151" s="4">
        <f>[1]Source!AU5244</f>
        <v>10</v>
      </c>
      <c r="F4151" s="33"/>
      <c r="G4151" s="34"/>
      <c r="H4151" s="4"/>
      <c r="I4151" s="4"/>
      <c r="J4151" s="33">
        <f>SUM(AE4147:AE4150)</f>
        <v>10235.9</v>
      </c>
      <c r="K4151" s="33"/>
      <c r="M4151"/>
      <c r="N4151"/>
      <c r="O4151"/>
      <c r="P4151"/>
      <c r="Q4151"/>
    </row>
    <row r="4152" spans="1:33" ht="14.25" x14ac:dyDescent="0.2">
      <c r="A4152" s="31"/>
      <c r="B4152" s="31"/>
      <c r="C4152" s="31" t="s">
        <v>42</v>
      </c>
      <c r="D4152" s="32" t="s">
        <v>43</v>
      </c>
      <c r="E4152" s="4">
        <f>[1]Source!AQ5244</f>
        <v>1.53</v>
      </c>
      <c r="F4152" s="33"/>
      <c r="G4152" s="34" t="str">
        <f>[1]Source!DI5244</f>
        <v>)*1*168</v>
      </c>
      <c r="H4152" s="4">
        <f>[1]Source!AV5244</f>
        <v>1</v>
      </c>
      <c r="I4152" s="4"/>
      <c r="J4152" s="33"/>
      <c r="K4152" s="33">
        <f>[1]Source!U5244</f>
        <v>412.85764800000004</v>
      </c>
      <c r="M4152"/>
      <c r="N4152"/>
      <c r="O4152"/>
      <c r="P4152"/>
      <c r="Q4152"/>
    </row>
    <row r="4153" spans="1:33" ht="15" x14ac:dyDescent="0.25">
      <c r="A4153" s="35"/>
      <c r="B4153" s="35"/>
      <c r="C4153" s="35"/>
      <c r="D4153" s="35"/>
      <c r="E4153" s="35"/>
      <c r="F4153" s="35"/>
      <c r="G4153" s="35"/>
      <c r="H4153" s="35"/>
      <c r="I4153" s="36">
        <f>J4149+J4150+J4151</f>
        <v>184246.22</v>
      </c>
      <c r="J4153" s="36"/>
      <c r="K4153" s="37">
        <f>IF([1]Source!I5244&lt;&gt;0, ROUND(I4153/[1]Source!I5244, 2), 0)</f>
        <v>114709.39</v>
      </c>
      <c r="M4153"/>
      <c r="N4153"/>
      <c r="O4153"/>
      <c r="P4153"/>
      <c r="Q4153"/>
      <c r="AA4153" s="38">
        <f>I4153</f>
        <v>184246.22</v>
      </c>
    </row>
    <row r="4154" spans="1:33" ht="42.75" x14ac:dyDescent="0.2">
      <c r="A4154" s="31">
        <v>520</v>
      </c>
      <c r="B4154" s="31" t="str">
        <f>[1]Source!F5245</f>
        <v>5.3-1102-8-1/1</v>
      </c>
      <c r="C4154" s="31" t="str">
        <f>[1]Source!G5245</f>
        <v>Уборка свежевыпавшего снега вручную толщиной слоя до 10 см ( 573,66 м2 * 0,8*0,3*0,5 = 68,84 м2 )</v>
      </c>
      <c r="D4154" s="32" t="str">
        <f>[1]Source!H5245</f>
        <v>100 м2</v>
      </c>
      <c r="E4154" s="4">
        <f>[1]Source!I5245</f>
        <v>0.68840000000000001</v>
      </c>
      <c r="F4154" s="33"/>
      <c r="G4154" s="34"/>
      <c r="H4154" s="4"/>
      <c r="I4154" s="4"/>
      <c r="J4154" s="33"/>
      <c r="K4154" s="33"/>
      <c r="M4154"/>
      <c r="N4154"/>
      <c r="O4154"/>
      <c r="P4154"/>
      <c r="Q4154"/>
      <c r="AB4154">
        <f>ROUND(([1]Source!BZ5245/100)*ROUND(([1]Source!AF5245*[1]Source!AV5245)*[1]Source!I5245, 2), 2)</f>
        <v>52184.13</v>
      </c>
      <c r="AC4154">
        <f>[1]Source!X5245</f>
        <v>52184.13</v>
      </c>
      <c r="AD4154">
        <f>ROUND(([1]Source!CA5245/100)*ROUND(([1]Source!AF5245*[1]Source!AV5245)*[1]Source!I5245, 2), 2)</f>
        <v>7454.88</v>
      </c>
      <c r="AE4154">
        <f>[1]Source!Y5245</f>
        <v>7454.88</v>
      </c>
      <c r="AF4154">
        <f>ROUND((175/100)*ROUND(([1]Source!AE5245*[1]Source!AV5245)*[1]Source!I5245, 2), 2)</f>
        <v>0</v>
      </c>
      <c r="AG4154">
        <f>ROUND((108/100)*ROUND([1]Source!CS5245*[1]Source!I5245, 2), 2)</f>
        <v>0</v>
      </c>
    </row>
    <row r="4155" spans="1:33" x14ac:dyDescent="0.2">
      <c r="C4155" s="40" t="str">
        <f>"Объем: "&amp;[1]Source!I5245&amp;"=68,84/"&amp;"100"</f>
        <v>Объем: 0,6884=68,84/100</v>
      </c>
      <c r="M4155"/>
      <c r="N4155"/>
      <c r="O4155"/>
      <c r="P4155"/>
      <c r="Q4155"/>
    </row>
    <row r="4156" spans="1:33" ht="14.25" x14ac:dyDescent="0.2">
      <c r="A4156" s="31"/>
      <c r="B4156" s="31"/>
      <c r="C4156" s="31" t="s">
        <v>34</v>
      </c>
      <c r="D4156" s="32"/>
      <c r="E4156" s="4"/>
      <c r="F4156" s="33">
        <f>[1]Source!AO5245</f>
        <v>161.15</v>
      </c>
      <c r="G4156" s="34" t="str">
        <f>[1]Source!DG5245</f>
        <v>)*4*168</v>
      </c>
      <c r="H4156" s="4">
        <f>[1]Source!AV5245</f>
        <v>1</v>
      </c>
      <c r="I4156" s="4">
        <f>IF([1]Source!BA5245&lt;&gt; 0, [1]Source!BA5245, 1)</f>
        <v>1</v>
      </c>
      <c r="J4156" s="33">
        <f>[1]Source!S5245</f>
        <v>74548.759999999995</v>
      </c>
      <c r="K4156" s="33"/>
      <c r="M4156"/>
      <c r="N4156"/>
      <c r="O4156"/>
      <c r="P4156"/>
      <c r="Q4156"/>
    </row>
    <row r="4157" spans="1:33" ht="14.25" x14ac:dyDescent="0.2">
      <c r="A4157" s="31"/>
      <c r="B4157" s="31"/>
      <c r="C4157" s="31" t="s">
        <v>40</v>
      </c>
      <c r="D4157" s="32" t="s">
        <v>39</v>
      </c>
      <c r="E4157" s="4">
        <f>[1]Source!AT5245</f>
        <v>70</v>
      </c>
      <c r="F4157" s="33"/>
      <c r="G4157" s="34"/>
      <c r="H4157" s="4"/>
      <c r="I4157" s="4"/>
      <c r="J4157" s="33">
        <f>SUM(AC4154:AC4156)</f>
        <v>52184.13</v>
      </c>
      <c r="K4157" s="33"/>
      <c r="M4157"/>
      <c r="N4157"/>
      <c r="O4157"/>
      <c r="P4157"/>
      <c r="Q4157"/>
    </row>
    <row r="4158" spans="1:33" ht="14.25" x14ac:dyDescent="0.2">
      <c r="A4158" s="31"/>
      <c r="B4158" s="31"/>
      <c r="C4158" s="31" t="s">
        <v>41</v>
      </c>
      <c r="D4158" s="32" t="s">
        <v>39</v>
      </c>
      <c r="E4158" s="4">
        <f>[1]Source!AU5245</f>
        <v>10</v>
      </c>
      <c r="F4158" s="33"/>
      <c r="G4158" s="34"/>
      <c r="H4158" s="4"/>
      <c r="I4158" s="4"/>
      <c r="J4158" s="33">
        <f>SUM(AE4154:AE4157)</f>
        <v>7454.88</v>
      </c>
      <c r="K4158" s="33"/>
      <c r="M4158"/>
      <c r="N4158"/>
      <c r="O4158"/>
      <c r="P4158"/>
      <c r="Q4158"/>
    </row>
    <row r="4159" spans="1:33" ht="14.25" x14ac:dyDescent="0.2">
      <c r="A4159" s="31"/>
      <c r="B4159" s="31"/>
      <c r="C4159" s="31" t="s">
        <v>42</v>
      </c>
      <c r="D4159" s="32" t="s">
        <v>43</v>
      </c>
      <c r="E4159" s="4">
        <f>[1]Source!AQ5245</f>
        <v>0.65</v>
      </c>
      <c r="F4159" s="33"/>
      <c r="G4159" s="34" t="str">
        <f>[1]Source!DI5245</f>
        <v>)*4*168</v>
      </c>
      <c r="H4159" s="4">
        <f>[1]Source!AV5245</f>
        <v>1</v>
      </c>
      <c r="I4159" s="4"/>
      <c r="J4159" s="33"/>
      <c r="K4159" s="33">
        <f>[1]Source!U5245</f>
        <v>300.69312000000002</v>
      </c>
      <c r="M4159"/>
      <c r="N4159"/>
      <c r="O4159"/>
      <c r="P4159"/>
      <c r="Q4159"/>
    </row>
    <row r="4160" spans="1:33" ht="15" x14ac:dyDescent="0.25">
      <c r="A4160" s="35"/>
      <c r="B4160" s="35"/>
      <c r="C4160" s="35"/>
      <c r="D4160" s="35"/>
      <c r="E4160" s="35"/>
      <c r="F4160" s="35"/>
      <c r="G4160" s="35"/>
      <c r="H4160" s="35"/>
      <c r="I4160" s="36">
        <f>J4156+J4157+J4158</f>
        <v>134187.76999999999</v>
      </c>
      <c r="J4160" s="36"/>
      <c r="K4160" s="37">
        <f>IF([1]Source!I5245&lt;&gt;0, ROUND(I4160/[1]Source!I5245, 2), 0)</f>
        <v>194927.03</v>
      </c>
      <c r="M4160"/>
      <c r="N4160"/>
      <c r="O4160"/>
      <c r="P4160"/>
      <c r="Q4160"/>
      <c r="AA4160" s="38">
        <f>I4160</f>
        <v>134187.76999999999</v>
      </c>
    </row>
    <row r="4161" spans="1:33" ht="57" x14ac:dyDescent="0.2">
      <c r="A4161" s="31">
        <v>521</v>
      </c>
      <c r="B4161" s="31" t="str">
        <f>[1]Source!F5246</f>
        <v>5.3-1102-8-2/1</v>
      </c>
      <c r="C4161" s="31" t="str">
        <f>[1]Source!G5246</f>
        <v>Уборка свежевыпавшего снега вручную, добавлять на каждые следующие 10 см увеличения толщины слоя</v>
      </c>
      <c r="D4161" s="32" t="str">
        <f>[1]Source!H5246</f>
        <v>100 м2</v>
      </c>
      <c r="E4161" s="4">
        <f>[1]Source!I5246</f>
        <v>0.68840000000000001</v>
      </c>
      <c r="F4161" s="33"/>
      <c r="G4161" s="34"/>
      <c r="H4161" s="4"/>
      <c r="I4161" s="4"/>
      <c r="J4161" s="33"/>
      <c r="K4161" s="33"/>
      <c r="M4161"/>
      <c r="N4161"/>
      <c r="O4161"/>
      <c r="P4161"/>
      <c r="Q4161"/>
      <c r="AB4161">
        <f>ROUND(([1]Source!BZ5246/100)*ROUND(([1]Source!AF5246*[1]Source!AV5246)*[1]Source!I5246, 2), 2)</f>
        <v>37735.14</v>
      </c>
      <c r="AC4161">
        <f>[1]Source!X5246</f>
        <v>37735.14</v>
      </c>
      <c r="AD4161">
        <f>ROUND(([1]Source!CA5246/100)*ROUND(([1]Source!AF5246*[1]Source!AV5246)*[1]Source!I5246, 2), 2)</f>
        <v>5390.73</v>
      </c>
      <c r="AE4161">
        <f>[1]Source!Y5246</f>
        <v>5390.73</v>
      </c>
      <c r="AF4161">
        <f>ROUND((175/100)*ROUND(([1]Source!AE5246*[1]Source!AV5246)*[1]Source!I5246, 2), 2)</f>
        <v>0</v>
      </c>
      <c r="AG4161">
        <f>ROUND((108/100)*ROUND([1]Source!CS5246*[1]Source!I5246, 2), 2)</f>
        <v>0</v>
      </c>
    </row>
    <row r="4162" spans="1:33" x14ac:dyDescent="0.2">
      <c r="C4162" s="40" t="str">
        <f>"Объем: "&amp;[1]Source!I5246&amp;"=68,84/"&amp;"100"</f>
        <v>Объем: 0,6884=68,84/100</v>
      </c>
      <c r="M4162"/>
      <c r="N4162"/>
      <c r="O4162"/>
      <c r="P4162"/>
      <c r="Q4162"/>
    </row>
    <row r="4163" spans="1:33" ht="14.25" x14ac:dyDescent="0.2">
      <c r="A4163" s="31"/>
      <c r="B4163" s="31"/>
      <c r="C4163" s="31" t="s">
        <v>34</v>
      </c>
      <c r="D4163" s="32"/>
      <c r="E4163" s="4"/>
      <c r="F4163" s="33">
        <f>[1]Source!AO5246</f>
        <v>116.53</v>
      </c>
      <c r="G4163" s="34" t="str">
        <f>[1]Source!DG5246</f>
        <v>)*4*168</v>
      </c>
      <c r="H4163" s="4">
        <f>[1]Source!AV5246</f>
        <v>1</v>
      </c>
      <c r="I4163" s="4">
        <f>IF([1]Source!BA5246&lt;&gt; 0, [1]Source!BA5246, 1)</f>
        <v>1</v>
      </c>
      <c r="J4163" s="33">
        <f>[1]Source!S5246</f>
        <v>53907.34</v>
      </c>
      <c r="K4163" s="33"/>
      <c r="M4163"/>
      <c r="N4163"/>
      <c r="O4163"/>
      <c r="P4163"/>
      <c r="Q4163"/>
    </row>
    <row r="4164" spans="1:33" ht="14.25" x14ac:dyDescent="0.2">
      <c r="A4164" s="31"/>
      <c r="B4164" s="31"/>
      <c r="C4164" s="31" t="s">
        <v>40</v>
      </c>
      <c r="D4164" s="32" t="s">
        <v>39</v>
      </c>
      <c r="E4164" s="4">
        <f>[1]Source!AT5246</f>
        <v>70</v>
      </c>
      <c r="F4164" s="33"/>
      <c r="G4164" s="34"/>
      <c r="H4164" s="4"/>
      <c r="I4164" s="4"/>
      <c r="J4164" s="33">
        <f>SUM(AC4161:AC4163)</f>
        <v>37735.14</v>
      </c>
      <c r="K4164" s="33"/>
      <c r="M4164"/>
      <c r="N4164"/>
      <c r="O4164"/>
      <c r="P4164"/>
      <c r="Q4164"/>
    </row>
    <row r="4165" spans="1:33" ht="14.25" x14ac:dyDescent="0.2">
      <c r="A4165" s="31"/>
      <c r="B4165" s="31"/>
      <c r="C4165" s="31" t="s">
        <v>41</v>
      </c>
      <c r="D4165" s="32" t="s">
        <v>39</v>
      </c>
      <c r="E4165" s="4">
        <f>[1]Source!AU5246</f>
        <v>10</v>
      </c>
      <c r="F4165" s="33"/>
      <c r="G4165" s="34"/>
      <c r="H4165" s="4"/>
      <c r="I4165" s="4"/>
      <c r="J4165" s="33">
        <f>SUM(AE4161:AE4164)</f>
        <v>5390.73</v>
      </c>
      <c r="K4165" s="33"/>
      <c r="M4165"/>
      <c r="N4165"/>
      <c r="O4165"/>
      <c r="P4165"/>
      <c r="Q4165"/>
    </row>
    <row r="4166" spans="1:33" ht="14.25" x14ac:dyDescent="0.2">
      <c r="A4166" s="31"/>
      <c r="B4166" s="31"/>
      <c r="C4166" s="31" t="s">
        <v>42</v>
      </c>
      <c r="D4166" s="32" t="s">
        <v>43</v>
      </c>
      <c r="E4166" s="4">
        <f>[1]Source!AQ5246</f>
        <v>0.47</v>
      </c>
      <c r="F4166" s="33"/>
      <c r="G4166" s="34" t="str">
        <f>[1]Source!DI5246</f>
        <v>)*4*168</v>
      </c>
      <c r="H4166" s="4">
        <f>[1]Source!AV5246</f>
        <v>1</v>
      </c>
      <c r="I4166" s="4"/>
      <c r="J4166" s="33"/>
      <c r="K4166" s="33">
        <f>[1]Source!U5246</f>
        <v>217.42425599999999</v>
      </c>
      <c r="M4166"/>
      <c r="N4166"/>
      <c r="O4166"/>
      <c r="P4166"/>
      <c r="Q4166"/>
    </row>
    <row r="4167" spans="1:33" ht="15" x14ac:dyDescent="0.25">
      <c r="A4167" s="35"/>
      <c r="B4167" s="35"/>
      <c r="C4167" s="35"/>
      <c r="D4167" s="35"/>
      <c r="E4167" s="35"/>
      <c r="F4167" s="35"/>
      <c r="G4167" s="35"/>
      <c r="H4167" s="35"/>
      <c r="I4167" s="36">
        <f>J4163+J4164+J4165</f>
        <v>97033.209999999992</v>
      </c>
      <c r="J4167" s="36"/>
      <c r="K4167" s="37">
        <f>IF([1]Source!I5246&lt;&gt;0, ROUND(I4167/[1]Source!I5246, 2), 0)</f>
        <v>140954.69</v>
      </c>
      <c r="M4167"/>
      <c r="N4167"/>
      <c r="O4167"/>
      <c r="P4167"/>
      <c r="Q4167"/>
      <c r="AA4167" s="38">
        <f>I4167</f>
        <v>97033.209999999992</v>
      </c>
    </row>
    <row r="4168" spans="1:33" ht="57" x14ac:dyDescent="0.2">
      <c r="A4168" s="31">
        <v>522</v>
      </c>
      <c r="B4168" s="31" t="str">
        <f>[1]Source!F5247</f>
        <v>5.3-1102-24-1/1</v>
      </c>
      <c r="C4168" s="31" t="str">
        <f>[1]Source!G5247</f>
        <v>Уборка свежевыпавшего снега ручной самоходной машиной - ширина захвата 120 см ( S=573,66м2*0,2=114,73м2)</v>
      </c>
      <c r="D4168" s="32" t="str">
        <f>[1]Source!H5247</f>
        <v>100 м2</v>
      </c>
      <c r="E4168" s="4">
        <f>[1]Source!I5247</f>
        <v>1.1473</v>
      </c>
      <c r="F4168" s="33"/>
      <c r="G4168" s="34"/>
      <c r="H4168" s="4"/>
      <c r="I4168" s="4"/>
      <c r="J4168" s="33"/>
      <c r="K4168" s="33"/>
      <c r="M4168"/>
      <c r="N4168"/>
      <c r="O4168"/>
      <c r="P4168"/>
      <c r="Q4168"/>
      <c r="AB4168">
        <f>ROUND(([1]Source!BZ5247/100)*ROUND(([1]Source!AF5247*[1]Source!AV5247)*[1]Source!I5247, 2), 2)</f>
        <v>52382.3</v>
      </c>
      <c r="AC4168">
        <f>[1]Source!X5247</f>
        <v>52382.3</v>
      </c>
      <c r="AD4168">
        <f>ROUND(([1]Source!CA5247/100)*ROUND(([1]Source!AF5247*[1]Source!AV5247)*[1]Source!I5247, 2), 2)</f>
        <v>7483.19</v>
      </c>
      <c r="AE4168">
        <f>[1]Source!Y5247</f>
        <v>7483.19</v>
      </c>
      <c r="AF4168">
        <f>ROUND((175/100)*ROUND(([1]Source!AE5247*[1]Source!AV5247)*[1]Source!I5247, 2), 2)</f>
        <v>121.43</v>
      </c>
      <c r="AG4168">
        <f>ROUND((108/100)*ROUND([1]Source!CS5247*[1]Source!I5247, 2), 2)</f>
        <v>74.94</v>
      </c>
    </row>
    <row r="4169" spans="1:33" x14ac:dyDescent="0.2">
      <c r="C4169" s="40" t="str">
        <f>"Объем: "&amp;[1]Source!I5247&amp;"=114,73/"&amp;"100"</f>
        <v>Объем: 1,1473=114,73/100</v>
      </c>
      <c r="M4169"/>
      <c r="N4169"/>
      <c r="O4169"/>
      <c r="P4169"/>
      <c r="Q4169"/>
    </row>
    <row r="4170" spans="1:33" ht="14.25" x14ac:dyDescent="0.2">
      <c r="A4170" s="31"/>
      <c r="B4170" s="31"/>
      <c r="C4170" s="31" t="s">
        <v>34</v>
      </c>
      <c r="D4170" s="32"/>
      <c r="E4170" s="4"/>
      <c r="F4170" s="33">
        <f>[1]Source!AO5247</f>
        <v>97.06</v>
      </c>
      <c r="G4170" s="34" t="str">
        <f>[1]Source!DG5247</f>
        <v>)*4*168</v>
      </c>
      <c r="H4170" s="4">
        <f>[1]Source!AV5247</f>
        <v>1</v>
      </c>
      <c r="I4170" s="4">
        <f>IF([1]Source!BA5247&lt;&gt; 0, [1]Source!BA5247, 1)</f>
        <v>1</v>
      </c>
      <c r="J4170" s="33">
        <f>[1]Source!S5247</f>
        <v>74831.86</v>
      </c>
      <c r="K4170" s="33"/>
      <c r="M4170"/>
      <c r="N4170"/>
      <c r="O4170"/>
      <c r="P4170"/>
      <c r="Q4170"/>
    </row>
    <row r="4171" spans="1:33" ht="14.25" x14ac:dyDescent="0.2">
      <c r="A4171" s="31"/>
      <c r="B4171" s="31"/>
      <c r="C4171" s="31" t="s">
        <v>33</v>
      </c>
      <c r="D4171" s="32"/>
      <c r="E4171" s="4"/>
      <c r="F4171" s="33">
        <f>[1]Source!AM5247</f>
        <v>33.97</v>
      </c>
      <c r="G4171" s="34" t="str">
        <f>[1]Source!DE5247</f>
        <v>)*4*168</v>
      </c>
      <c r="H4171" s="4">
        <f>[1]Source!AV5247</f>
        <v>1</v>
      </c>
      <c r="I4171" s="4">
        <f>IF([1]Source!BB5247&lt;&gt; 0, [1]Source!BB5247, 1)</f>
        <v>1</v>
      </c>
      <c r="J4171" s="33">
        <f>[1]Source!Q5247</f>
        <v>26190.38</v>
      </c>
      <c r="K4171" s="33"/>
      <c r="M4171"/>
      <c r="N4171"/>
      <c r="O4171"/>
      <c r="P4171"/>
      <c r="Q4171"/>
    </row>
    <row r="4172" spans="1:33" ht="14.25" x14ac:dyDescent="0.2">
      <c r="A4172" s="31"/>
      <c r="B4172" s="31"/>
      <c r="C4172" s="31" t="s">
        <v>37</v>
      </c>
      <c r="D4172" s="32"/>
      <c r="E4172" s="4"/>
      <c r="F4172" s="33">
        <f>[1]Source!AN5247</f>
        <v>0.09</v>
      </c>
      <c r="G4172" s="34" t="str">
        <f>[1]Source!DF5247</f>
        <v>)*4*168</v>
      </c>
      <c r="H4172" s="4">
        <f>[1]Source!AV5247</f>
        <v>1</v>
      </c>
      <c r="I4172" s="4">
        <f>IF([1]Source!BS5247&lt;&gt; 0, [1]Source!BS5247, 1)</f>
        <v>1</v>
      </c>
      <c r="J4172" s="41">
        <f>[1]Source!R5247</f>
        <v>69.39</v>
      </c>
      <c r="K4172" s="33"/>
      <c r="M4172"/>
      <c r="N4172"/>
      <c r="O4172"/>
      <c r="P4172"/>
      <c r="Q4172"/>
    </row>
    <row r="4173" spans="1:33" ht="14.25" x14ac:dyDescent="0.2">
      <c r="A4173" s="31"/>
      <c r="B4173" s="31"/>
      <c r="C4173" s="31" t="s">
        <v>40</v>
      </c>
      <c r="D4173" s="32" t="s">
        <v>39</v>
      </c>
      <c r="E4173" s="4">
        <f>[1]Source!AT5247</f>
        <v>70</v>
      </c>
      <c r="F4173" s="33"/>
      <c r="G4173" s="34"/>
      <c r="H4173" s="4"/>
      <c r="I4173" s="4"/>
      <c r="J4173" s="33">
        <f>SUM(AC4168:AC4172)</f>
        <v>52382.3</v>
      </c>
      <c r="K4173" s="33"/>
      <c r="M4173"/>
      <c r="N4173"/>
      <c r="O4173"/>
      <c r="P4173"/>
      <c r="Q4173"/>
    </row>
    <row r="4174" spans="1:33" ht="14.25" x14ac:dyDescent="0.2">
      <c r="A4174" s="31"/>
      <c r="B4174" s="31"/>
      <c r="C4174" s="31" t="s">
        <v>41</v>
      </c>
      <c r="D4174" s="32" t="s">
        <v>39</v>
      </c>
      <c r="E4174" s="4">
        <f>[1]Source!AU5247</f>
        <v>10</v>
      </c>
      <c r="F4174" s="33"/>
      <c r="G4174" s="34"/>
      <c r="H4174" s="4"/>
      <c r="I4174" s="4"/>
      <c r="J4174" s="33">
        <f>SUM(AE4168:AE4173)</f>
        <v>7483.19</v>
      </c>
      <c r="K4174" s="33"/>
      <c r="M4174"/>
      <c r="N4174"/>
      <c r="O4174"/>
      <c r="P4174"/>
      <c r="Q4174"/>
    </row>
    <row r="4175" spans="1:33" ht="14.25" x14ac:dyDescent="0.2">
      <c r="A4175" s="31"/>
      <c r="B4175" s="31"/>
      <c r="C4175" s="31" t="s">
        <v>38</v>
      </c>
      <c r="D4175" s="32" t="s">
        <v>39</v>
      </c>
      <c r="E4175" s="4">
        <f>108</f>
        <v>108</v>
      </c>
      <c r="F4175" s="33"/>
      <c r="G4175" s="34"/>
      <c r="H4175" s="4"/>
      <c r="I4175" s="4"/>
      <c r="J4175" s="33">
        <f>SUM(AG4168:AG4174)</f>
        <v>74.94</v>
      </c>
      <c r="K4175" s="33"/>
      <c r="M4175"/>
      <c r="N4175"/>
      <c r="O4175"/>
      <c r="P4175"/>
      <c r="Q4175"/>
    </row>
    <row r="4176" spans="1:33" ht="14.25" x14ac:dyDescent="0.2">
      <c r="A4176" s="31"/>
      <c r="B4176" s="31"/>
      <c r="C4176" s="31" t="s">
        <v>42</v>
      </c>
      <c r="D4176" s="32" t="s">
        <v>43</v>
      </c>
      <c r="E4176" s="4">
        <f>[1]Source!AQ5247</f>
        <v>0.35</v>
      </c>
      <c r="F4176" s="33"/>
      <c r="G4176" s="34" t="str">
        <f>[1]Source!DI5247</f>
        <v>)*4*168</v>
      </c>
      <c r="H4176" s="4">
        <f>[1]Source!AV5247</f>
        <v>1</v>
      </c>
      <c r="I4176" s="4"/>
      <c r="J4176" s="33"/>
      <c r="K4176" s="33">
        <f>[1]Source!U5247</f>
        <v>269.84495999999996</v>
      </c>
      <c r="M4176"/>
      <c r="N4176"/>
      <c r="O4176"/>
      <c r="P4176"/>
      <c r="Q4176"/>
    </row>
    <row r="4177" spans="1:33" ht="15" x14ac:dyDescent="0.25">
      <c r="A4177" s="35"/>
      <c r="B4177" s="35"/>
      <c r="C4177" s="35"/>
      <c r="D4177" s="35"/>
      <c r="E4177" s="35"/>
      <c r="F4177" s="35"/>
      <c r="G4177" s="35"/>
      <c r="H4177" s="35"/>
      <c r="I4177" s="36">
        <f>J4170+J4171+J4173+J4174+J4175</f>
        <v>160962.67000000001</v>
      </c>
      <c r="J4177" s="36"/>
      <c r="K4177" s="37">
        <f>IF([1]Source!I5247&lt;&gt;0, ROUND(I4177/[1]Source!I5247, 2), 0)</f>
        <v>140296.93</v>
      </c>
      <c r="M4177"/>
      <c r="N4177"/>
      <c r="O4177"/>
      <c r="P4177"/>
      <c r="Q4177"/>
      <c r="AA4177" s="38">
        <f>I4177</f>
        <v>160962.67000000001</v>
      </c>
    </row>
    <row r="4178" spans="1:33" ht="42.75" x14ac:dyDescent="0.2">
      <c r="A4178" s="31">
        <v>523</v>
      </c>
      <c r="B4178" s="31" t="str">
        <f>[1]Source!F5248</f>
        <v>5.3-1102-9-1/1</v>
      </c>
      <c r="C4178" s="31" t="str">
        <f>[1]Source!G5248</f>
        <v>Колка льда на обледеневших покрытиях вручную ( S=573,66м2*0,8*0,3*0,5= 68,84м2)</v>
      </c>
      <c r="D4178" s="32" t="str">
        <f>[1]Source!H5248</f>
        <v>100 м2</v>
      </c>
      <c r="E4178" s="4">
        <f>[1]Source!I5248</f>
        <v>0.68840000000000001</v>
      </c>
      <c r="F4178" s="33"/>
      <c r="G4178" s="34"/>
      <c r="H4178" s="4"/>
      <c r="I4178" s="4"/>
      <c r="J4178" s="33"/>
      <c r="K4178" s="33"/>
      <c r="M4178"/>
      <c r="N4178"/>
      <c r="O4178"/>
      <c r="P4178"/>
      <c r="Q4178"/>
      <c r="AB4178">
        <f>ROUND(([1]Source!BZ5248/100)*ROUND(([1]Source!AF5248*[1]Source!AV5248)*[1]Source!I5248, 2), 2)</f>
        <v>96743.85</v>
      </c>
      <c r="AC4178">
        <f>[1]Source!X5248</f>
        <v>96743.85</v>
      </c>
      <c r="AD4178">
        <f>ROUND(([1]Source!CA5248/100)*ROUND(([1]Source!AF5248*[1]Source!AV5248)*[1]Source!I5248, 2), 2)</f>
        <v>13820.55</v>
      </c>
      <c r="AE4178">
        <f>[1]Source!Y5248</f>
        <v>13820.55</v>
      </c>
      <c r="AF4178">
        <f>ROUND((175/100)*ROUND(([1]Source!AE5248*[1]Source!AV5248)*[1]Source!I5248, 2), 2)</f>
        <v>0</v>
      </c>
      <c r="AG4178">
        <f>ROUND((108/100)*ROUND([1]Source!CS5248*[1]Source!I5248, 2), 2)</f>
        <v>0</v>
      </c>
    </row>
    <row r="4179" spans="1:33" x14ac:dyDescent="0.2">
      <c r="C4179" s="40" t="str">
        <f>"Объем: "&amp;[1]Source!I5248&amp;"=68,84/"&amp;"100"</f>
        <v>Объем: 0,6884=68,84/100</v>
      </c>
      <c r="M4179"/>
      <c r="N4179"/>
      <c r="O4179"/>
      <c r="P4179"/>
      <c r="Q4179"/>
    </row>
    <row r="4180" spans="1:33" ht="14.25" x14ac:dyDescent="0.2">
      <c r="A4180" s="31"/>
      <c r="B4180" s="31"/>
      <c r="C4180" s="31" t="s">
        <v>34</v>
      </c>
      <c r="D4180" s="32"/>
      <c r="E4180" s="4"/>
      <c r="F4180" s="33">
        <f>[1]Source!AO5248</f>
        <v>597.51</v>
      </c>
      <c r="G4180" s="34" t="str">
        <f>[1]Source!DG5248</f>
        <v>)*2*168</v>
      </c>
      <c r="H4180" s="4">
        <f>[1]Source!AV5248</f>
        <v>1</v>
      </c>
      <c r="I4180" s="4">
        <f>IF([1]Source!BA5248&lt;&gt; 0, [1]Source!BA5248, 1)</f>
        <v>1</v>
      </c>
      <c r="J4180" s="33">
        <f>[1]Source!S5248</f>
        <v>138205.5</v>
      </c>
      <c r="K4180" s="33"/>
      <c r="M4180"/>
      <c r="N4180"/>
      <c r="O4180"/>
      <c r="P4180"/>
      <c r="Q4180"/>
    </row>
    <row r="4181" spans="1:33" ht="14.25" x14ac:dyDescent="0.2">
      <c r="A4181" s="31"/>
      <c r="B4181" s="31"/>
      <c r="C4181" s="31" t="s">
        <v>40</v>
      </c>
      <c r="D4181" s="32" t="s">
        <v>39</v>
      </c>
      <c r="E4181" s="4">
        <f>[1]Source!AT5248</f>
        <v>70</v>
      </c>
      <c r="F4181" s="33"/>
      <c r="G4181" s="34"/>
      <c r="H4181" s="4"/>
      <c r="I4181" s="4"/>
      <c r="J4181" s="33">
        <f>SUM(AC4178:AC4180)</f>
        <v>96743.85</v>
      </c>
      <c r="K4181" s="33"/>
      <c r="M4181"/>
      <c r="N4181"/>
      <c r="O4181"/>
      <c r="P4181"/>
      <c r="Q4181"/>
    </row>
    <row r="4182" spans="1:33" ht="14.25" x14ac:dyDescent="0.2">
      <c r="A4182" s="31"/>
      <c r="B4182" s="31"/>
      <c r="C4182" s="31" t="s">
        <v>41</v>
      </c>
      <c r="D4182" s="32" t="s">
        <v>39</v>
      </c>
      <c r="E4182" s="4">
        <f>[1]Source!AU5248</f>
        <v>10</v>
      </c>
      <c r="F4182" s="33"/>
      <c r="G4182" s="34"/>
      <c r="H4182" s="4"/>
      <c r="I4182" s="4"/>
      <c r="J4182" s="33">
        <f>SUM(AE4178:AE4181)</f>
        <v>13820.55</v>
      </c>
      <c r="K4182" s="33"/>
      <c r="M4182"/>
      <c r="N4182"/>
      <c r="O4182"/>
      <c r="P4182"/>
      <c r="Q4182"/>
    </row>
    <row r="4183" spans="1:33" ht="14.25" x14ac:dyDescent="0.2">
      <c r="A4183" s="31"/>
      <c r="B4183" s="31"/>
      <c r="C4183" s="31" t="s">
        <v>42</v>
      </c>
      <c r="D4183" s="32" t="s">
        <v>43</v>
      </c>
      <c r="E4183" s="4">
        <f>[1]Source!AQ5248</f>
        <v>2.41</v>
      </c>
      <c r="F4183" s="33"/>
      <c r="G4183" s="34" t="str">
        <f>[1]Source!DI5248</f>
        <v>)*2*168</v>
      </c>
      <c r="H4183" s="4">
        <f>[1]Source!AV5248</f>
        <v>1</v>
      </c>
      <c r="I4183" s="4"/>
      <c r="J4183" s="33"/>
      <c r="K4183" s="33">
        <f>[1]Source!U5248</f>
        <v>557.43878400000006</v>
      </c>
      <c r="M4183"/>
      <c r="N4183"/>
      <c r="O4183"/>
      <c r="P4183"/>
      <c r="Q4183"/>
    </row>
    <row r="4184" spans="1:33" ht="15" x14ac:dyDescent="0.25">
      <c r="A4184" s="35"/>
      <c r="B4184" s="35"/>
      <c r="C4184" s="35"/>
      <c r="D4184" s="35"/>
      <c r="E4184" s="35"/>
      <c r="F4184" s="35"/>
      <c r="G4184" s="35"/>
      <c r="H4184" s="35"/>
      <c r="I4184" s="36">
        <f>J4180+J4181+J4182</f>
        <v>248769.9</v>
      </c>
      <c r="J4184" s="36"/>
      <c r="K4184" s="37">
        <f>IF([1]Source!I5248&lt;&gt;0, ROUND(I4184/[1]Source!I5248, 2), 0)</f>
        <v>361374.06</v>
      </c>
      <c r="M4184"/>
      <c r="N4184"/>
      <c r="O4184"/>
      <c r="P4184"/>
      <c r="Q4184"/>
      <c r="AA4184" s="38">
        <f>I4184</f>
        <v>248769.9</v>
      </c>
    </row>
    <row r="4185" spans="1:33" ht="28.5" x14ac:dyDescent="0.2">
      <c r="A4185" s="31">
        <v>524</v>
      </c>
      <c r="B4185" s="31" t="str">
        <f>[1]Source!F5249</f>
        <v>калькуляция</v>
      </c>
      <c r="C4185" s="31" t="str">
        <f>[1]Source!G5249</f>
        <v>Посыпка гранитной крошкой  дорожных покрытий вручную( 100г/м2 )</v>
      </c>
      <c r="D4185" s="32" t="str">
        <f>[1]Source!H5249</f>
        <v>м2</v>
      </c>
      <c r="E4185" s="4">
        <f>[1]Source!I5249</f>
        <v>573.66</v>
      </c>
      <c r="F4185" s="33"/>
      <c r="G4185" s="34"/>
      <c r="H4185" s="4"/>
      <c r="I4185" s="4"/>
      <c r="J4185" s="33"/>
      <c r="K4185" s="33"/>
      <c r="M4185"/>
      <c r="N4185"/>
      <c r="O4185"/>
      <c r="P4185"/>
      <c r="Q4185"/>
      <c r="AB4185">
        <f>ROUND(([1]Source!BZ5249/100)*ROUND(([1]Source!AF5249*[1]Source!AV5249)*[1]Source!I5249, 2), 2)</f>
        <v>0</v>
      </c>
      <c r="AC4185">
        <f>[1]Source!X5249</f>
        <v>0</v>
      </c>
      <c r="AD4185">
        <f>ROUND(([1]Source!CA5249/100)*ROUND(([1]Source!AF5249*[1]Source!AV5249)*[1]Source!I5249, 2), 2)</f>
        <v>0</v>
      </c>
      <c r="AE4185">
        <f>[1]Source!Y5249</f>
        <v>0</v>
      </c>
      <c r="AF4185">
        <f>ROUND((175/100)*ROUND(([1]Source!AE5249*[1]Source!AV5249)*[1]Source!I5249, 2), 2)</f>
        <v>0</v>
      </c>
      <c r="AG4185">
        <f>ROUND((108/100)*ROUND([1]Source!CS5249*[1]Source!I5249, 2), 2)</f>
        <v>0</v>
      </c>
    </row>
    <row r="4186" spans="1:33" ht="14.25" x14ac:dyDescent="0.2">
      <c r="A4186" s="31"/>
      <c r="B4186" s="31"/>
      <c r="C4186" s="31" t="s">
        <v>34</v>
      </c>
      <c r="D4186" s="32"/>
      <c r="E4186" s="4"/>
      <c r="F4186" s="33">
        <f>[1]Source!AO5249</f>
        <v>2.08</v>
      </c>
      <c r="G4186" s="34" t="str">
        <f>[1]Source!DG5249</f>
        <v>)*4*168</v>
      </c>
      <c r="H4186" s="4">
        <f>[1]Source!AV5249</f>
        <v>1</v>
      </c>
      <c r="I4186" s="4">
        <f>IF([1]Source!BA5249&lt;&gt; 0, [1]Source!BA5249, 1)</f>
        <v>1</v>
      </c>
      <c r="J4186" s="33">
        <f>[1]Source!S5249</f>
        <v>801839</v>
      </c>
      <c r="K4186" s="33"/>
      <c r="M4186"/>
      <c r="N4186"/>
      <c r="O4186"/>
      <c r="P4186"/>
      <c r="Q4186"/>
    </row>
    <row r="4187" spans="1:33" ht="14.25" x14ac:dyDescent="0.2">
      <c r="A4187" s="31" t="s">
        <v>195</v>
      </c>
      <c r="B4187" s="31" t="str">
        <f>[1]Source!F5250</f>
        <v>цена поставщика</v>
      </c>
      <c r="C4187" s="31" t="str">
        <f>[1]Source!G5250</f>
        <v>Крошка гранитная</v>
      </c>
      <c r="D4187" s="32" t="str">
        <f>[1]Source!H5250</f>
        <v>кг</v>
      </c>
      <c r="E4187" s="4">
        <f>[1]Source!I5250</f>
        <v>38549.951999999997</v>
      </c>
      <c r="F4187" s="33">
        <f>[1]Source!AK5250</f>
        <v>4.43</v>
      </c>
      <c r="G4187" s="39" t="s">
        <v>45</v>
      </c>
      <c r="H4187" s="4">
        <f>[1]Source!AW5250</f>
        <v>1</v>
      </c>
      <c r="I4187" s="4">
        <f>IF([1]Source!BC5250&lt;&gt; 0, [1]Source!BC5250, 1)</f>
        <v>1</v>
      </c>
      <c r="J4187" s="33">
        <f>[1]Source!O5250</f>
        <v>170776.29</v>
      </c>
      <c r="K4187" s="33"/>
      <c r="M4187"/>
      <c r="N4187"/>
      <c r="O4187"/>
      <c r="P4187"/>
      <c r="Q4187"/>
      <c r="AB4187">
        <f>ROUND(([1]Source!BZ5250/100)*ROUND(([1]Source!AF5250*[1]Source!AV5250)*[1]Source!I5250, 2), 2)</f>
        <v>0</v>
      </c>
      <c r="AC4187">
        <f>[1]Source!X5250</f>
        <v>0</v>
      </c>
      <c r="AD4187">
        <f>ROUND(([1]Source!CA5250/100)*ROUND(([1]Source!AF5250*[1]Source!AV5250)*[1]Source!I5250, 2), 2)</f>
        <v>0</v>
      </c>
      <c r="AE4187">
        <f>[1]Source!Y5250</f>
        <v>0</v>
      </c>
      <c r="AF4187">
        <f>ROUND((175/100)*ROUND(([1]Source!AE5250*[1]Source!AV5250)*[1]Source!I5250, 2), 2)</f>
        <v>0</v>
      </c>
      <c r="AG4187">
        <f>ROUND((108/100)*ROUND([1]Source!CS5250*[1]Source!I5250, 2), 2)</f>
        <v>0</v>
      </c>
    </row>
    <row r="4188" spans="1:33" ht="15" x14ac:dyDescent="0.25">
      <c r="A4188" s="35"/>
      <c r="B4188" s="35"/>
      <c r="C4188" s="35"/>
      <c r="D4188" s="35"/>
      <c r="E4188" s="35"/>
      <c r="F4188" s="35"/>
      <c r="G4188" s="35"/>
      <c r="H4188" s="35"/>
      <c r="I4188" s="36">
        <f>J4186+SUM(J4187:J4187)</f>
        <v>972615.29</v>
      </c>
      <c r="J4188" s="36"/>
      <c r="K4188" s="37">
        <f>IF([1]Source!I5249&lt;&gt;0, ROUND(I4188/[1]Source!I5249, 2), 0)</f>
        <v>1695.46</v>
      </c>
      <c r="M4188"/>
      <c r="N4188"/>
      <c r="O4188"/>
      <c r="P4188"/>
      <c r="Q4188"/>
      <c r="AA4188" s="38">
        <f>I4188</f>
        <v>972615.29</v>
      </c>
    </row>
    <row r="4189" spans="1:33" ht="28.5" x14ac:dyDescent="0.2">
      <c r="A4189" s="31">
        <v>525</v>
      </c>
      <c r="B4189" s="31" t="str">
        <f>[1]Source!F5251</f>
        <v>5.4-1201-1-1/1</v>
      </c>
      <c r="C4189" s="31" t="str">
        <f>[1]Source!G5251</f>
        <v>Сбор случайного мусора по территории</v>
      </c>
      <c r="D4189" s="32" t="str">
        <f>[1]Source!H5251</f>
        <v>100 м2</v>
      </c>
      <c r="E4189" s="4">
        <f>[1]Source!I5251</f>
        <v>5.7366000000000001</v>
      </c>
      <c r="F4189" s="33"/>
      <c r="G4189" s="34"/>
      <c r="H4189" s="4"/>
      <c r="I4189" s="4"/>
      <c r="J4189" s="33"/>
      <c r="K4189" s="33"/>
      <c r="M4189"/>
      <c r="N4189"/>
      <c r="O4189"/>
      <c r="P4189"/>
      <c r="Q4189"/>
      <c r="AB4189">
        <f>ROUND(([1]Source!BZ5251/100)*ROUND(([1]Source!AF5251*[1]Source!AV5251)*[1]Source!I5251, 2), 2)</f>
        <v>66126.02</v>
      </c>
      <c r="AC4189">
        <f>[1]Source!X5251</f>
        <v>66126.02</v>
      </c>
      <c r="AD4189">
        <f>ROUND(([1]Source!CA5251/100)*ROUND(([1]Source!AF5251*[1]Source!AV5251)*[1]Source!I5251, 2), 2)</f>
        <v>9446.57</v>
      </c>
      <c r="AE4189">
        <f>[1]Source!Y5251</f>
        <v>9446.57</v>
      </c>
      <c r="AF4189">
        <f>ROUND((175/100)*ROUND(([1]Source!AE5251*[1]Source!AV5251)*[1]Source!I5251, 2), 2)</f>
        <v>0</v>
      </c>
      <c r="AG4189">
        <f>ROUND((108/100)*ROUND([1]Source!CS5251*[1]Source!I5251, 2), 2)</f>
        <v>0</v>
      </c>
    </row>
    <row r="4190" spans="1:33" x14ac:dyDescent="0.2">
      <c r="C4190" s="40" t="str">
        <f>"Объем: "&amp;[1]Source!I5251&amp;"=573,66/"&amp;"100"</f>
        <v>Объем: 5,7366=573,66/100</v>
      </c>
      <c r="M4190"/>
      <c r="N4190"/>
      <c r="O4190"/>
      <c r="P4190"/>
      <c r="Q4190"/>
    </row>
    <row r="4191" spans="1:33" ht="14.25" x14ac:dyDescent="0.2">
      <c r="A4191" s="31"/>
      <c r="B4191" s="31"/>
      <c r="C4191" s="31" t="s">
        <v>34</v>
      </c>
      <c r="D4191" s="32"/>
      <c r="E4191" s="4"/>
      <c r="F4191" s="33">
        <f>[1]Source!AO5251</f>
        <v>12.4</v>
      </c>
      <c r="G4191" s="34" t="str">
        <f>[1]Source!DG5251</f>
        <v>)*4*332</v>
      </c>
      <c r="H4191" s="4">
        <f>[1]Source!AV5251</f>
        <v>1</v>
      </c>
      <c r="I4191" s="4">
        <f>IF([1]Source!BA5251&lt;&gt; 0, [1]Source!BA5251, 1)</f>
        <v>1</v>
      </c>
      <c r="J4191" s="33">
        <f>[1]Source!S5251</f>
        <v>94465.74</v>
      </c>
      <c r="K4191" s="33"/>
      <c r="M4191"/>
      <c r="N4191"/>
      <c r="O4191"/>
      <c r="P4191"/>
      <c r="Q4191"/>
    </row>
    <row r="4192" spans="1:33" ht="14.25" x14ac:dyDescent="0.2">
      <c r="A4192" s="31"/>
      <c r="B4192" s="31"/>
      <c r="C4192" s="31" t="s">
        <v>47</v>
      </c>
      <c r="D4192" s="32"/>
      <c r="E4192" s="4"/>
      <c r="F4192" s="33">
        <f>[1]Source!AL5251</f>
        <v>0.69</v>
      </c>
      <c r="G4192" s="34" t="str">
        <f>[1]Source!DD5251</f>
        <v>)*4*332</v>
      </c>
      <c r="H4192" s="4">
        <f>[1]Source!AW5251</f>
        <v>1</v>
      </c>
      <c r="I4192" s="4">
        <f>IF([1]Source!BC5251&lt;&gt; 0, [1]Source!BC5251, 1)</f>
        <v>1</v>
      </c>
      <c r="J4192" s="33">
        <f>[1]Source!P5251</f>
        <v>5256.56</v>
      </c>
      <c r="K4192" s="33"/>
      <c r="M4192"/>
      <c r="N4192"/>
      <c r="O4192"/>
      <c r="P4192"/>
      <c r="Q4192"/>
    </row>
    <row r="4193" spans="1:33" ht="14.25" x14ac:dyDescent="0.2">
      <c r="A4193" s="31"/>
      <c r="B4193" s="31"/>
      <c r="C4193" s="31" t="s">
        <v>40</v>
      </c>
      <c r="D4193" s="32" t="s">
        <v>39</v>
      </c>
      <c r="E4193" s="4">
        <f>[1]Source!AT5251</f>
        <v>70</v>
      </c>
      <c r="F4193" s="33"/>
      <c r="G4193" s="34"/>
      <c r="H4193" s="4"/>
      <c r="I4193" s="4"/>
      <c r="J4193" s="33">
        <f>SUM(AC4189:AC4192)</f>
        <v>66126.02</v>
      </c>
      <c r="K4193" s="33"/>
      <c r="M4193"/>
      <c r="N4193"/>
      <c r="O4193"/>
      <c r="P4193"/>
      <c r="Q4193"/>
    </row>
    <row r="4194" spans="1:33" ht="14.25" x14ac:dyDescent="0.2">
      <c r="A4194" s="31"/>
      <c r="B4194" s="31"/>
      <c r="C4194" s="31" t="s">
        <v>41</v>
      </c>
      <c r="D4194" s="32" t="s">
        <v>39</v>
      </c>
      <c r="E4194" s="4">
        <f>[1]Source!AU5251</f>
        <v>10</v>
      </c>
      <c r="F4194" s="33"/>
      <c r="G4194" s="34"/>
      <c r="H4194" s="4"/>
      <c r="I4194" s="4"/>
      <c r="J4194" s="33">
        <f>SUM(AE4189:AE4193)</f>
        <v>9446.57</v>
      </c>
      <c r="K4194" s="33"/>
      <c r="M4194"/>
      <c r="N4194"/>
      <c r="O4194"/>
      <c r="P4194"/>
      <c r="Q4194"/>
    </row>
    <row r="4195" spans="1:33" ht="14.25" x14ac:dyDescent="0.2">
      <c r="A4195" s="31"/>
      <c r="B4195" s="31"/>
      <c r="C4195" s="31" t="s">
        <v>42</v>
      </c>
      <c r="D4195" s="32" t="s">
        <v>43</v>
      </c>
      <c r="E4195" s="4">
        <f>[1]Source!AQ5251</f>
        <v>0.05</v>
      </c>
      <c r="F4195" s="33"/>
      <c r="G4195" s="34" t="str">
        <f>[1]Source!DI5251</f>
        <v>)*4*332</v>
      </c>
      <c r="H4195" s="4">
        <f>[1]Source!AV5251</f>
        <v>1</v>
      </c>
      <c r="I4195" s="4"/>
      <c r="J4195" s="33"/>
      <c r="K4195" s="33">
        <f>[1]Source!U5251</f>
        <v>380.91024000000004</v>
      </c>
      <c r="M4195"/>
      <c r="N4195"/>
      <c r="O4195"/>
      <c r="P4195"/>
      <c r="Q4195"/>
    </row>
    <row r="4196" spans="1:33" ht="15" x14ac:dyDescent="0.25">
      <c r="A4196" s="35"/>
      <c r="B4196" s="35"/>
      <c r="C4196" s="35"/>
      <c r="D4196" s="35"/>
      <c r="E4196" s="35"/>
      <c r="F4196" s="35"/>
      <c r="G4196" s="35"/>
      <c r="H4196" s="35"/>
      <c r="I4196" s="36">
        <f>J4191+J4192+J4193+J4194</f>
        <v>175294.89</v>
      </c>
      <c r="J4196" s="36"/>
      <c r="K4196" s="37">
        <f>IF([1]Source!I5251&lt;&gt;0, ROUND(I4196/[1]Source!I5251, 2), 0)</f>
        <v>30557.279999999999</v>
      </c>
      <c r="M4196"/>
      <c r="N4196"/>
      <c r="O4196"/>
      <c r="P4196"/>
      <c r="Q4196"/>
      <c r="AA4196" s="38">
        <f>I4196</f>
        <v>175294.89</v>
      </c>
    </row>
    <row r="4197" spans="1:33" x14ac:dyDescent="0.2">
      <c r="M4197"/>
      <c r="N4197"/>
      <c r="O4197"/>
      <c r="P4197"/>
      <c r="Q4197"/>
    </row>
    <row r="4198" spans="1:33" ht="15" x14ac:dyDescent="0.25">
      <c r="A4198" s="42" t="str">
        <f>CONCATENATE("Итого по подразделу: ",IF([1]Source!G5253&lt;&gt;"Новый подраздел", [1]Source!G5253, ""))</f>
        <v>Итого по подразделу: Содержание покрытий ( S=573,66 м2)..</v>
      </c>
      <c r="B4198" s="42"/>
      <c r="C4198" s="42"/>
      <c r="D4198" s="42"/>
      <c r="E4198" s="42"/>
      <c r="F4198" s="42"/>
      <c r="G4198" s="42"/>
      <c r="H4198" s="42"/>
      <c r="I4198" s="43">
        <f>SUM(AA4136:AA4197)</f>
        <v>2782945.44</v>
      </c>
      <c r="J4198" s="44"/>
      <c r="K4198" s="47"/>
      <c r="L4198" s="38">
        <f>I4198</f>
        <v>2782945.44</v>
      </c>
      <c r="M4198" s="2">
        <f>ROUND(I4198*$I$4874,2)</f>
        <v>2009862.25</v>
      </c>
      <c r="N4198" s="2">
        <f>ROUND(M4198*1.2/105*100,2)</f>
        <v>2296985.4300000002</v>
      </c>
      <c r="O4198" s="2">
        <f>ROUND(N4198*0.05,2)</f>
        <v>114849.27</v>
      </c>
      <c r="P4198" s="2">
        <f>N4198+O4198-0.01</f>
        <v>2411834.6900000004</v>
      </c>
      <c r="Q4198" s="3">
        <v>8</v>
      </c>
      <c r="S4198" s="2">
        <v>436953.77</v>
      </c>
    </row>
    <row r="4199" spans="1:33" x14ac:dyDescent="0.2">
      <c r="M4199"/>
      <c r="N4199"/>
      <c r="O4199"/>
      <c r="P4199"/>
      <c r="Q4199"/>
    </row>
    <row r="4200" spans="1:33" x14ac:dyDescent="0.2">
      <c r="M4200"/>
      <c r="N4200"/>
      <c r="O4200"/>
      <c r="P4200"/>
      <c r="Q4200"/>
    </row>
    <row r="4201" spans="1:33" ht="16.5" x14ac:dyDescent="0.25">
      <c r="A4201" s="29" t="str">
        <f>CONCATENATE("Подраздел: ",IF([1]Source!G5283&lt;&gt;"Новый подраздел", [1]Source!G5283, ""))</f>
        <v>Подраздел: Уход за бортовыми камнями</v>
      </c>
      <c r="B4201" s="29"/>
      <c r="C4201" s="29"/>
      <c r="D4201" s="29"/>
      <c r="E4201" s="29"/>
      <c r="F4201" s="29"/>
      <c r="G4201" s="29"/>
      <c r="H4201" s="29"/>
      <c r="I4201" s="29"/>
      <c r="J4201" s="29"/>
      <c r="K4201" s="29"/>
      <c r="M4201"/>
      <c r="N4201"/>
      <c r="O4201"/>
      <c r="P4201"/>
      <c r="Q4201"/>
    </row>
    <row r="4202" spans="1:33" ht="28.5" x14ac:dyDescent="0.2">
      <c r="A4202" s="31">
        <v>526</v>
      </c>
      <c r="B4202" s="31" t="str">
        <f>[1]Source!F5287</f>
        <v>калькуляция</v>
      </c>
      <c r="C4202" s="31" t="str">
        <f>[1]Source!G5287</f>
        <v>Уход за бортовыми камнями(  подметание вручную)</v>
      </c>
      <c r="D4202" s="32" t="str">
        <f>[1]Source!H5287</f>
        <v>м2</v>
      </c>
      <c r="E4202" s="4">
        <f>[1]Source!I5287</f>
        <v>28.82</v>
      </c>
      <c r="F4202" s="33"/>
      <c r="G4202" s="34"/>
      <c r="H4202" s="4"/>
      <c r="I4202" s="4"/>
      <c r="J4202" s="33"/>
      <c r="K4202" s="33"/>
      <c r="M4202"/>
      <c r="N4202"/>
      <c r="O4202"/>
      <c r="P4202"/>
      <c r="Q4202"/>
      <c r="AB4202">
        <f>ROUND(([1]Source!BZ5287/100)*ROUND(([1]Source!AF5287*[1]Source!AV5287)*[1]Source!I5287, 2), 2)</f>
        <v>0</v>
      </c>
      <c r="AC4202">
        <f>[1]Source!X5287</f>
        <v>0</v>
      </c>
      <c r="AD4202">
        <f>ROUND(([1]Source!CA5287/100)*ROUND(([1]Source!AF5287*[1]Source!AV5287)*[1]Source!I5287, 2), 2)</f>
        <v>0</v>
      </c>
      <c r="AE4202">
        <f>[1]Source!Y5287</f>
        <v>0</v>
      </c>
      <c r="AF4202">
        <f>ROUND((175/100)*ROUND(([1]Source!AE5287*[1]Source!AV5287)*[1]Source!I5287, 2), 2)</f>
        <v>0</v>
      </c>
      <c r="AG4202">
        <f>ROUND((108/100)*ROUND([1]Source!CS5287*[1]Source!I5287, 2), 2)</f>
        <v>0</v>
      </c>
    </row>
    <row r="4203" spans="1:33" ht="14.25" x14ac:dyDescent="0.2">
      <c r="A4203" s="31"/>
      <c r="B4203" s="31"/>
      <c r="C4203" s="31" t="s">
        <v>34</v>
      </c>
      <c r="D4203" s="32"/>
      <c r="E4203" s="4"/>
      <c r="F4203" s="33">
        <f>[1]Source!AO5287</f>
        <v>1.24</v>
      </c>
      <c r="G4203" s="34" t="str">
        <f>[1]Source!DG5287</f>
        <v>)*1*164</v>
      </c>
      <c r="H4203" s="4">
        <f>[1]Source!AV5287</f>
        <v>1</v>
      </c>
      <c r="I4203" s="4">
        <f>IF([1]Source!BA5287&lt;&gt; 0, [1]Source!BA5287, 1)</f>
        <v>1</v>
      </c>
      <c r="J4203" s="33">
        <f>[1]Source!S5287</f>
        <v>5860.84</v>
      </c>
      <c r="K4203" s="33"/>
      <c r="M4203"/>
      <c r="N4203"/>
      <c r="O4203"/>
      <c r="P4203"/>
      <c r="Q4203"/>
    </row>
    <row r="4204" spans="1:33" ht="15" x14ac:dyDescent="0.25">
      <c r="A4204" s="35"/>
      <c r="B4204" s="35"/>
      <c r="C4204" s="35"/>
      <c r="D4204" s="35"/>
      <c r="E4204" s="35"/>
      <c r="F4204" s="35"/>
      <c r="G4204" s="35"/>
      <c r="H4204" s="35"/>
      <c r="I4204" s="36">
        <f>J4203</f>
        <v>5860.84</v>
      </c>
      <c r="J4204" s="36"/>
      <c r="K4204" s="37">
        <f>IF([1]Source!I5287&lt;&gt;0, ROUND(I4204/[1]Source!I5287, 2), 0)</f>
        <v>203.36</v>
      </c>
      <c r="M4204"/>
      <c r="N4204"/>
      <c r="O4204"/>
      <c r="P4204"/>
      <c r="Q4204"/>
      <c r="AA4204" s="38">
        <f>I4204</f>
        <v>5860.84</v>
      </c>
    </row>
    <row r="4205" spans="1:33" ht="28.5" x14ac:dyDescent="0.2">
      <c r="A4205" s="31">
        <v>527</v>
      </c>
      <c r="B4205" s="31" t="str">
        <f>[1]Source!F5288</f>
        <v>5.3-1102-8-1/1</v>
      </c>
      <c r="C4205" s="31" t="str">
        <f>[1]Source!G5288</f>
        <v>Уборка свежевыпавшего снега вручную толщиной слоя до 10 см</v>
      </c>
      <c r="D4205" s="32" t="str">
        <f>[1]Source!H5288</f>
        <v>100 м2</v>
      </c>
      <c r="E4205" s="4">
        <f>[1]Source!I5288</f>
        <v>0.28820000000000001</v>
      </c>
      <c r="F4205" s="33"/>
      <c r="G4205" s="34"/>
      <c r="H4205" s="4"/>
      <c r="I4205" s="4"/>
      <c r="J4205" s="33"/>
      <c r="K4205" s="33"/>
      <c r="M4205"/>
      <c r="N4205"/>
      <c r="O4205"/>
      <c r="P4205"/>
      <c r="Q4205"/>
      <c r="AB4205">
        <f>ROUND(([1]Source!BZ5288/100)*ROUND(([1]Source!AF5288*[1]Source!AV5288)*[1]Source!I5288, 2), 2)</f>
        <v>21846.99</v>
      </c>
      <c r="AC4205">
        <f>[1]Source!X5288</f>
        <v>21846.99</v>
      </c>
      <c r="AD4205">
        <f>ROUND(([1]Source!CA5288/100)*ROUND(([1]Source!AF5288*[1]Source!AV5288)*[1]Source!I5288, 2), 2)</f>
        <v>3121</v>
      </c>
      <c r="AE4205">
        <f>[1]Source!Y5288</f>
        <v>3121</v>
      </c>
      <c r="AF4205">
        <f>ROUND((175/100)*ROUND(([1]Source!AE5288*[1]Source!AV5288)*[1]Source!I5288, 2), 2)</f>
        <v>0</v>
      </c>
      <c r="AG4205">
        <f>ROUND((108/100)*ROUND([1]Source!CS5288*[1]Source!I5288, 2), 2)</f>
        <v>0</v>
      </c>
    </row>
    <row r="4206" spans="1:33" x14ac:dyDescent="0.2">
      <c r="C4206" s="40" t="str">
        <f>"Объем: "&amp;[1]Source!I5288&amp;"=28,82/"&amp;"100"</f>
        <v>Объем: 0,2882=28,82/100</v>
      </c>
      <c r="M4206"/>
      <c r="N4206"/>
      <c r="O4206"/>
      <c r="P4206"/>
      <c r="Q4206"/>
    </row>
    <row r="4207" spans="1:33" ht="14.25" x14ac:dyDescent="0.2">
      <c r="A4207" s="31"/>
      <c r="B4207" s="31"/>
      <c r="C4207" s="31" t="s">
        <v>34</v>
      </c>
      <c r="D4207" s="32"/>
      <c r="E4207" s="4"/>
      <c r="F4207" s="33">
        <f>[1]Source!AO5288</f>
        <v>161.15</v>
      </c>
      <c r="G4207" s="34" t="str">
        <f>[1]Source!DG5288</f>
        <v>)*4*168</v>
      </c>
      <c r="H4207" s="4">
        <f>[1]Source!AV5288</f>
        <v>1</v>
      </c>
      <c r="I4207" s="4">
        <f>IF([1]Source!BA5288&lt;&gt; 0, [1]Source!BA5288, 1)</f>
        <v>1</v>
      </c>
      <c r="J4207" s="33">
        <f>[1]Source!S5288</f>
        <v>31209.98</v>
      </c>
      <c r="K4207" s="33"/>
      <c r="M4207"/>
      <c r="N4207"/>
      <c r="O4207"/>
      <c r="P4207"/>
      <c r="Q4207"/>
    </row>
    <row r="4208" spans="1:33" ht="14.25" x14ac:dyDescent="0.2">
      <c r="A4208" s="31"/>
      <c r="B4208" s="31"/>
      <c r="C4208" s="31" t="s">
        <v>40</v>
      </c>
      <c r="D4208" s="32" t="s">
        <v>39</v>
      </c>
      <c r="E4208" s="4">
        <f>[1]Source!AT5288</f>
        <v>70</v>
      </c>
      <c r="F4208" s="33"/>
      <c r="G4208" s="34"/>
      <c r="H4208" s="4"/>
      <c r="I4208" s="4"/>
      <c r="J4208" s="33">
        <f>SUM(AC4205:AC4207)</f>
        <v>21846.99</v>
      </c>
      <c r="K4208" s="33"/>
      <c r="M4208"/>
      <c r="N4208"/>
      <c r="O4208"/>
      <c r="P4208"/>
      <c r="Q4208"/>
    </row>
    <row r="4209" spans="1:33" ht="14.25" x14ac:dyDescent="0.2">
      <c r="A4209" s="31"/>
      <c r="B4209" s="31"/>
      <c r="C4209" s="31" t="s">
        <v>41</v>
      </c>
      <c r="D4209" s="32" t="s">
        <v>39</v>
      </c>
      <c r="E4209" s="4">
        <f>[1]Source!AU5288</f>
        <v>10</v>
      </c>
      <c r="F4209" s="33"/>
      <c r="G4209" s="34"/>
      <c r="H4209" s="4"/>
      <c r="I4209" s="4"/>
      <c r="J4209" s="33">
        <f>SUM(AE4205:AE4208)</f>
        <v>3121</v>
      </c>
      <c r="K4209" s="33"/>
      <c r="M4209"/>
      <c r="N4209"/>
      <c r="O4209"/>
      <c r="P4209"/>
      <c r="Q4209"/>
    </row>
    <row r="4210" spans="1:33" ht="14.25" x14ac:dyDescent="0.2">
      <c r="A4210" s="31"/>
      <c r="B4210" s="31"/>
      <c r="C4210" s="31" t="s">
        <v>42</v>
      </c>
      <c r="D4210" s="32" t="s">
        <v>43</v>
      </c>
      <c r="E4210" s="4">
        <f>[1]Source!AQ5288</f>
        <v>0.65</v>
      </c>
      <c r="F4210" s="33"/>
      <c r="G4210" s="34" t="str">
        <f>[1]Source!DI5288</f>
        <v>)*4*168</v>
      </c>
      <c r="H4210" s="4">
        <f>[1]Source!AV5288</f>
        <v>1</v>
      </c>
      <c r="I4210" s="4"/>
      <c r="J4210" s="33"/>
      <c r="K4210" s="33">
        <f>[1]Source!U5288</f>
        <v>125.88576</v>
      </c>
      <c r="M4210"/>
      <c r="N4210"/>
      <c r="O4210"/>
      <c r="P4210"/>
      <c r="Q4210"/>
    </row>
    <row r="4211" spans="1:33" ht="15" x14ac:dyDescent="0.25">
      <c r="A4211" s="35"/>
      <c r="B4211" s="35"/>
      <c r="C4211" s="35"/>
      <c r="D4211" s="35"/>
      <c r="E4211" s="35"/>
      <c r="F4211" s="35"/>
      <c r="G4211" s="35"/>
      <c r="H4211" s="35"/>
      <c r="I4211" s="36">
        <f>J4207+J4208+J4209</f>
        <v>56177.97</v>
      </c>
      <c r="J4211" s="36"/>
      <c r="K4211" s="37">
        <f>IF([1]Source!I5288&lt;&gt;0, ROUND(I4211/[1]Source!I5288, 2), 0)</f>
        <v>194927.03</v>
      </c>
      <c r="M4211"/>
      <c r="N4211"/>
      <c r="O4211"/>
      <c r="P4211"/>
      <c r="Q4211"/>
      <c r="AA4211" s="38">
        <f>I4211</f>
        <v>56177.97</v>
      </c>
    </row>
    <row r="4212" spans="1:33" x14ac:dyDescent="0.2">
      <c r="M4212"/>
      <c r="N4212"/>
      <c r="O4212"/>
      <c r="P4212"/>
      <c r="Q4212"/>
    </row>
    <row r="4213" spans="1:33" ht="15" x14ac:dyDescent="0.25">
      <c r="A4213" s="42" t="str">
        <f>CONCATENATE("Итого по подразделу: ",IF([1]Source!G5290&lt;&gt;"Новый подраздел", [1]Source!G5290, ""))</f>
        <v>Итого по подразделу: Уход за бортовыми камнями</v>
      </c>
      <c r="B4213" s="42"/>
      <c r="C4213" s="42"/>
      <c r="D4213" s="42"/>
      <c r="E4213" s="42"/>
      <c r="F4213" s="42"/>
      <c r="G4213" s="42"/>
      <c r="H4213" s="42"/>
      <c r="I4213" s="43">
        <f>SUM(AA4201:AA4212)</f>
        <v>62038.81</v>
      </c>
      <c r="J4213" s="44"/>
      <c r="K4213" s="47"/>
      <c r="L4213" s="38">
        <f>I4213</f>
        <v>62038.81</v>
      </c>
      <c r="M4213" s="2">
        <f>ROUND(I4213*$I$4874,2)</f>
        <v>44804.85</v>
      </c>
      <c r="N4213" s="2">
        <f>ROUND(M4213*1.2/105*100,2)</f>
        <v>51205.54</v>
      </c>
      <c r="O4213" s="2">
        <f>ROUND(N4213*0.05,2)</f>
        <v>2560.2800000000002</v>
      </c>
      <c r="P4213" s="2">
        <f>N4213+O4213</f>
        <v>53765.82</v>
      </c>
      <c r="Q4213" s="3">
        <v>9</v>
      </c>
      <c r="S4213" s="2">
        <v>9912.9500000000007</v>
      </c>
    </row>
    <row r="4214" spans="1:33" x14ac:dyDescent="0.2">
      <c r="M4214"/>
      <c r="N4214"/>
      <c r="O4214"/>
      <c r="P4214"/>
      <c r="Q4214"/>
    </row>
    <row r="4215" spans="1:33" x14ac:dyDescent="0.2">
      <c r="M4215"/>
      <c r="N4215"/>
      <c r="O4215"/>
      <c r="P4215"/>
      <c r="Q4215"/>
    </row>
    <row r="4216" spans="1:33" ht="16.5" x14ac:dyDescent="0.25">
      <c r="A4216" s="29" t="str">
        <f>CONCATENATE("Подраздел: ",IF([1]Source!G5320&lt;&gt;"Новый подраздел", [1]Source!G5320, ""))</f>
        <v>Подраздел: Уход за покрытием пандуса</v>
      </c>
      <c r="B4216" s="29"/>
      <c r="C4216" s="29"/>
      <c r="D4216" s="29"/>
      <c r="E4216" s="29"/>
      <c r="F4216" s="29"/>
      <c r="G4216" s="29"/>
      <c r="H4216" s="29"/>
      <c r="I4216" s="29"/>
      <c r="J4216" s="29"/>
      <c r="K4216" s="29"/>
      <c r="M4216"/>
      <c r="N4216"/>
      <c r="O4216"/>
      <c r="P4216"/>
      <c r="Q4216"/>
    </row>
    <row r="4217" spans="1:33" ht="28.5" x14ac:dyDescent="0.2">
      <c r="A4217" s="31">
        <v>528</v>
      </c>
      <c r="B4217" s="31" t="str">
        <f>[1]Source!F5324</f>
        <v>калькуляция</v>
      </c>
      <c r="C4217" s="31" t="str">
        <f>[1]Source!G5324</f>
        <v>Подметание дорожек  вручную ( S=18 м2)</v>
      </c>
      <c r="D4217" s="32" t="str">
        <f>[1]Source!H5324</f>
        <v>м2</v>
      </c>
      <c r="E4217" s="4">
        <f>[1]Source!I5324</f>
        <v>18</v>
      </c>
      <c r="F4217" s="33"/>
      <c r="G4217" s="34"/>
      <c r="H4217" s="4"/>
      <c r="I4217" s="4"/>
      <c r="J4217" s="33"/>
      <c r="K4217" s="33"/>
      <c r="M4217"/>
      <c r="N4217"/>
      <c r="O4217"/>
      <c r="P4217"/>
      <c r="Q4217"/>
      <c r="AB4217">
        <f>ROUND(([1]Source!BZ5324/100)*ROUND(([1]Source!AF5324*[1]Source!AV5324)*[1]Source!I5324, 2), 2)</f>
        <v>0</v>
      </c>
      <c r="AC4217">
        <f>[1]Source!X5324</f>
        <v>0</v>
      </c>
      <c r="AD4217">
        <f>ROUND(([1]Source!CA5324/100)*ROUND(([1]Source!AF5324*[1]Source!AV5324)*[1]Source!I5324, 2), 2)</f>
        <v>0</v>
      </c>
      <c r="AE4217">
        <f>[1]Source!Y5324</f>
        <v>0</v>
      </c>
      <c r="AF4217">
        <f>ROUND((175/100)*ROUND(([1]Source!AE5324*[1]Source!AV5324)*[1]Source!I5324, 2), 2)</f>
        <v>0</v>
      </c>
      <c r="AG4217">
        <f>ROUND((108/100)*ROUND([1]Source!CS5324*[1]Source!I5324, 2), 2)</f>
        <v>0</v>
      </c>
    </row>
    <row r="4218" spans="1:33" ht="14.25" x14ac:dyDescent="0.2">
      <c r="A4218" s="31"/>
      <c r="B4218" s="31"/>
      <c r="C4218" s="31" t="s">
        <v>34</v>
      </c>
      <c r="D4218" s="32"/>
      <c r="E4218" s="4"/>
      <c r="F4218" s="33">
        <f>[1]Source!AO5324</f>
        <v>1.32</v>
      </c>
      <c r="G4218" s="34" t="str">
        <f>[1]Source!DG5324</f>
        <v>)*4*164</v>
      </c>
      <c r="H4218" s="4">
        <f>[1]Source!AV5324</f>
        <v>1</v>
      </c>
      <c r="I4218" s="4">
        <f>IF([1]Source!BA5324&lt;&gt; 0, [1]Source!BA5324, 1)</f>
        <v>1</v>
      </c>
      <c r="J4218" s="33">
        <f>[1]Source!S5324</f>
        <v>15586.56</v>
      </c>
      <c r="K4218" s="33"/>
      <c r="M4218"/>
      <c r="N4218"/>
      <c r="O4218"/>
      <c r="P4218"/>
      <c r="Q4218"/>
    </row>
    <row r="4219" spans="1:33" ht="15" x14ac:dyDescent="0.25">
      <c r="A4219" s="35"/>
      <c r="B4219" s="35"/>
      <c r="C4219" s="35"/>
      <c r="D4219" s="35"/>
      <c r="E4219" s="35"/>
      <c r="F4219" s="35"/>
      <c r="G4219" s="35"/>
      <c r="H4219" s="35"/>
      <c r="I4219" s="36">
        <f>J4218</f>
        <v>15586.56</v>
      </c>
      <c r="J4219" s="36"/>
      <c r="K4219" s="37">
        <f>IF([1]Source!I5324&lt;&gt;0, ROUND(I4219/[1]Source!I5324, 2), 0)</f>
        <v>865.92</v>
      </c>
      <c r="M4219"/>
      <c r="N4219"/>
      <c r="O4219"/>
      <c r="P4219"/>
      <c r="Q4219"/>
      <c r="AA4219" s="38">
        <f>I4219</f>
        <v>15586.56</v>
      </c>
    </row>
    <row r="4220" spans="1:33" ht="42.75" x14ac:dyDescent="0.2">
      <c r="A4220" s="31">
        <v>529</v>
      </c>
      <c r="B4220" s="31" t="str">
        <f>[1]Source!F5325</f>
        <v>5.3-1102-8-1/1</v>
      </c>
      <c r="C4220" s="31" t="str">
        <f>[1]Source!G5325</f>
        <v>Уборка свежевыпавшего снега вручную толщиной слоя до 10 см ( S=18 м2*0,7*0,5=6,3 м2 )</v>
      </c>
      <c r="D4220" s="32" t="str">
        <f>[1]Source!H5325</f>
        <v>100 м2</v>
      </c>
      <c r="E4220" s="4">
        <f>[1]Source!I5325</f>
        <v>6.3E-2</v>
      </c>
      <c r="F4220" s="33"/>
      <c r="G4220" s="34"/>
      <c r="H4220" s="4"/>
      <c r="I4220" s="4"/>
      <c r="J4220" s="33"/>
      <c r="K4220" s="33"/>
      <c r="M4220"/>
      <c r="N4220"/>
      <c r="O4220"/>
      <c r="P4220"/>
      <c r="Q4220"/>
      <c r="AB4220">
        <f>ROUND(([1]Source!BZ5325/100)*ROUND(([1]Source!AF5325*[1]Source!AV5325)*[1]Source!I5325, 2), 2)</f>
        <v>4775.72</v>
      </c>
      <c r="AC4220">
        <f>[1]Source!X5325</f>
        <v>4775.72</v>
      </c>
      <c r="AD4220">
        <f>ROUND(([1]Source!CA5325/100)*ROUND(([1]Source!AF5325*[1]Source!AV5325)*[1]Source!I5325, 2), 2)</f>
        <v>682.25</v>
      </c>
      <c r="AE4220">
        <f>[1]Source!Y5325</f>
        <v>682.25</v>
      </c>
      <c r="AF4220">
        <f>ROUND((175/100)*ROUND(([1]Source!AE5325*[1]Source!AV5325)*[1]Source!I5325, 2), 2)</f>
        <v>0</v>
      </c>
      <c r="AG4220">
        <f>ROUND((108/100)*ROUND([1]Source!CS5325*[1]Source!I5325, 2), 2)</f>
        <v>0</v>
      </c>
    </row>
    <row r="4221" spans="1:33" x14ac:dyDescent="0.2">
      <c r="C4221" s="40" t="str">
        <f>"Объем: "&amp;[1]Source!I5325&amp;"=6,3/"&amp;"100"</f>
        <v>Объем: 0,063=6,3/100</v>
      </c>
      <c r="M4221"/>
      <c r="N4221"/>
      <c r="O4221"/>
      <c r="P4221"/>
      <c r="Q4221"/>
    </row>
    <row r="4222" spans="1:33" ht="14.25" x14ac:dyDescent="0.2">
      <c r="A4222" s="31"/>
      <c r="B4222" s="31"/>
      <c r="C4222" s="31" t="s">
        <v>34</v>
      </c>
      <c r="D4222" s="32"/>
      <c r="E4222" s="4"/>
      <c r="F4222" s="33">
        <f>[1]Source!AO5325</f>
        <v>161.15</v>
      </c>
      <c r="G4222" s="34" t="str">
        <f>[1]Source!DG5325</f>
        <v>*4*168</v>
      </c>
      <c r="H4222" s="4">
        <f>[1]Source!AV5325</f>
        <v>1</v>
      </c>
      <c r="I4222" s="4">
        <f>IF([1]Source!BA5325&lt;&gt; 0, [1]Source!BA5325, 1)</f>
        <v>1</v>
      </c>
      <c r="J4222" s="33">
        <f>[1]Source!S5325</f>
        <v>6822.45</v>
      </c>
      <c r="K4222" s="33"/>
      <c r="M4222"/>
      <c r="N4222"/>
      <c r="O4222"/>
      <c r="P4222"/>
      <c r="Q4222"/>
    </row>
    <row r="4223" spans="1:33" ht="14.25" x14ac:dyDescent="0.2">
      <c r="A4223" s="31"/>
      <c r="B4223" s="31"/>
      <c r="C4223" s="31" t="s">
        <v>40</v>
      </c>
      <c r="D4223" s="32" t="s">
        <v>39</v>
      </c>
      <c r="E4223" s="4">
        <f>[1]Source!AT5325</f>
        <v>70</v>
      </c>
      <c r="F4223" s="33"/>
      <c r="G4223" s="34"/>
      <c r="H4223" s="4"/>
      <c r="I4223" s="4"/>
      <c r="J4223" s="33">
        <f>SUM(AC4220:AC4222)</f>
        <v>4775.72</v>
      </c>
      <c r="K4223" s="33"/>
      <c r="M4223"/>
      <c r="N4223"/>
      <c r="O4223"/>
      <c r="P4223"/>
      <c r="Q4223"/>
    </row>
    <row r="4224" spans="1:33" ht="14.25" x14ac:dyDescent="0.2">
      <c r="A4224" s="31"/>
      <c r="B4224" s="31"/>
      <c r="C4224" s="31" t="s">
        <v>41</v>
      </c>
      <c r="D4224" s="32" t="s">
        <v>39</v>
      </c>
      <c r="E4224" s="4">
        <f>[1]Source!AU5325</f>
        <v>10</v>
      </c>
      <c r="F4224" s="33"/>
      <c r="G4224" s="34"/>
      <c r="H4224" s="4"/>
      <c r="I4224" s="4"/>
      <c r="J4224" s="33">
        <f>SUM(AE4220:AE4223)</f>
        <v>682.25</v>
      </c>
      <c r="K4224" s="33"/>
      <c r="M4224"/>
      <c r="N4224"/>
      <c r="O4224"/>
      <c r="P4224"/>
      <c r="Q4224"/>
    </row>
    <row r="4225" spans="1:33" ht="14.25" x14ac:dyDescent="0.2">
      <c r="A4225" s="31"/>
      <c r="B4225" s="31"/>
      <c r="C4225" s="31" t="s">
        <v>42</v>
      </c>
      <c r="D4225" s="32" t="s">
        <v>43</v>
      </c>
      <c r="E4225" s="4">
        <f>[1]Source!AQ5325</f>
        <v>0.65</v>
      </c>
      <c r="F4225" s="33"/>
      <c r="G4225" s="34" t="str">
        <f>[1]Source!DI5325</f>
        <v>*4*168</v>
      </c>
      <c r="H4225" s="4">
        <f>[1]Source!AV5325</f>
        <v>1</v>
      </c>
      <c r="I4225" s="4"/>
      <c r="J4225" s="33"/>
      <c r="K4225" s="33">
        <f>[1]Source!U5325</f>
        <v>27.5184</v>
      </c>
      <c r="M4225"/>
      <c r="N4225"/>
      <c r="O4225"/>
      <c r="P4225"/>
      <c r="Q4225"/>
    </row>
    <row r="4226" spans="1:33" ht="15" x14ac:dyDescent="0.25">
      <c r="A4226" s="35"/>
      <c r="B4226" s="35"/>
      <c r="C4226" s="35"/>
      <c r="D4226" s="35"/>
      <c r="E4226" s="35"/>
      <c r="F4226" s="35"/>
      <c r="G4226" s="35"/>
      <c r="H4226" s="35"/>
      <c r="I4226" s="36">
        <f>J4222+J4223+J4224</f>
        <v>12280.42</v>
      </c>
      <c r="J4226" s="36"/>
      <c r="K4226" s="37">
        <f>IF([1]Source!I5325&lt;&gt;0, ROUND(I4226/[1]Source!I5325, 2), 0)</f>
        <v>194927.3</v>
      </c>
      <c r="M4226"/>
      <c r="N4226"/>
      <c r="O4226"/>
      <c r="P4226"/>
      <c r="Q4226"/>
      <c r="AA4226" s="38">
        <f>I4226</f>
        <v>12280.42</v>
      </c>
    </row>
    <row r="4227" spans="1:33" ht="28.5" x14ac:dyDescent="0.2">
      <c r="A4227" s="31">
        <v>530</v>
      </c>
      <c r="B4227" s="31" t="str">
        <f>[1]Source!F5326</f>
        <v>5.3-1102-8-3/1</v>
      </c>
      <c r="C4227" s="31" t="str">
        <f>[1]Source!G5326</f>
        <v>Уборка слежавшегося снега вручную ( S= 18 м2*0,7*0,5=6,3 м2)</v>
      </c>
      <c r="D4227" s="32" t="str">
        <f>[1]Source!H5326</f>
        <v>100 м2</v>
      </c>
      <c r="E4227" s="4">
        <f>[1]Source!I5326</f>
        <v>6.3E-2</v>
      </c>
      <c r="F4227" s="33"/>
      <c r="G4227" s="34"/>
      <c r="H4227" s="4"/>
      <c r="I4227" s="4"/>
      <c r="J4227" s="33"/>
      <c r="K4227" s="33"/>
      <c r="M4227"/>
      <c r="N4227"/>
      <c r="O4227"/>
      <c r="P4227"/>
      <c r="Q4227"/>
      <c r="AB4227">
        <f>ROUND(([1]Source!BZ5326/100)*ROUND(([1]Source!AF5326*[1]Source!AV5326)*[1]Source!I5326, 2), 2)</f>
        <v>2810.38</v>
      </c>
      <c r="AC4227">
        <f>[1]Source!X5326</f>
        <v>2810.38</v>
      </c>
      <c r="AD4227">
        <f>ROUND(([1]Source!CA5326/100)*ROUND(([1]Source!AF5326*[1]Source!AV5326)*[1]Source!I5326, 2), 2)</f>
        <v>401.48</v>
      </c>
      <c r="AE4227">
        <f>[1]Source!Y5326</f>
        <v>401.48</v>
      </c>
      <c r="AF4227">
        <f>ROUND((175/100)*ROUND(([1]Source!AE5326*[1]Source!AV5326)*[1]Source!I5326, 2), 2)</f>
        <v>0</v>
      </c>
      <c r="AG4227">
        <f>ROUND((108/100)*ROUND([1]Source!CS5326*[1]Source!I5326, 2), 2)</f>
        <v>0</v>
      </c>
    </row>
    <row r="4228" spans="1:33" x14ac:dyDescent="0.2">
      <c r="C4228" s="40" t="str">
        <f>"Объем: "&amp;[1]Source!I5326&amp;"=6,3/"&amp;"100"</f>
        <v>Объем: 0,063=6,3/100</v>
      </c>
      <c r="M4228"/>
      <c r="N4228"/>
      <c r="O4228"/>
      <c r="P4228"/>
      <c r="Q4228"/>
    </row>
    <row r="4229" spans="1:33" ht="14.25" x14ac:dyDescent="0.2">
      <c r="A4229" s="31"/>
      <c r="B4229" s="31"/>
      <c r="C4229" s="31" t="s">
        <v>34</v>
      </c>
      <c r="D4229" s="32"/>
      <c r="E4229" s="4"/>
      <c r="F4229" s="33">
        <f>[1]Source!AO5326</f>
        <v>379.33</v>
      </c>
      <c r="G4229" s="34" t="str">
        <f>[1]Source!DG5326</f>
        <v>)*1*168</v>
      </c>
      <c r="H4229" s="4">
        <f>[1]Source!AV5326</f>
        <v>1</v>
      </c>
      <c r="I4229" s="4">
        <f>IF([1]Source!BA5326&lt;&gt; 0, [1]Source!BA5326, 1)</f>
        <v>1</v>
      </c>
      <c r="J4229" s="33">
        <f>[1]Source!S5326</f>
        <v>4014.83</v>
      </c>
      <c r="K4229" s="33"/>
      <c r="M4229"/>
      <c r="N4229"/>
      <c r="O4229"/>
      <c r="P4229"/>
      <c r="Q4229"/>
    </row>
    <row r="4230" spans="1:33" ht="14.25" x14ac:dyDescent="0.2">
      <c r="A4230" s="31"/>
      <c r="B4230" s="31"/>
      <c r="C4230" s="31" t="s">
        <v>40</v>
      </c>
      <c r="D4230" s="32" t="s">
        <v>39</v>
      </c>
      <c r="E4230" s="4">
        <f>[1]Source!AT5326</f>
        <v>70</v>
      </c>
      <c r="F4230" s="33"/>
      <c r="G4230" s="34"/>
      <c r="H4230" s="4"/>
      <c r="I4230" s="4"/>
      <c r="J4230" s="33">
        <f>SUM(AC4227:AC4229)</f>
        <v>2810.38</v>
      </c>
      <c r="K4230" s="33"/>
      <c r="M4230"/>
      <c r="N4230"/>
      <c r="O4230"/>
      <c r="P4230"/>
      <c r="Q4230"/>
    </row>
    <row r="4231" spans="1:33" ht="14.25" x14ac:dyDescent="0.2">
      <c r="A4231" s="31"/>
      <c r="B4231" s="31"/>
      <c r="C4231" s="31" t="s">
        <v>41</v>
      </c>
      <c r="D4231" s="32" t="s">
        <v>39</v>
      </c>
      <c r="E4231" s="4">
        <f>[1]Source!AU5326</f>
        <v>10</v>
      </c>
      <c r="F4231" s="33"/>
      <c r="G4231" s="34"/>
      <c r="H4231" s="4"/>
      <c r="I4231" s="4"/>
      <c r="J4231" s="33">
        <f>SUM(AE4227:AE4230)</f>
        <v>401.48</v>
      </c>
      <c r="K4231" s="33"/>
      <c r="M4231"/>
      <c r="N4231"/>
      <c r="O4231"/>
      <c r="P4231"/>
      <c r="Q4231"/>
    </row>
    <row r="4232" spans="1:33" ht="14.25" x14ac:dyDescent="0.2">
      <c r="A4232" s="31"/>
      <c r="B4232" s="31"/>
      <c r="C4232" s="31" t="s">
        <v>42</v>
      </c>
      <c r="D4232" s="32" t="s">
        <v>43</v>
      </c>
      <c r="E4232" s="4">
        <f>[1]Source!AQ5326</f>
        <v>1.53</v>
      </c>
      <c r="F4232" s="33"/>
      <c r="G4232" s="34" t="str">
        <f>[1]Source!DI5326</f>
        <v>)*1*168</v>
      </c>
      <c r="H4232" s="4">
        <f>[1]Source!AV5326</f>
        <v>1</v>
      </c>
      <c r="I4232" s="4"/>
      <c r="J4232" s="33"/>
      <c r="K4232" s="33">
        <f>[1]Source!U5326</f>
        <v>16.193520000000003</v>
      </c>
      <c r="M4232"/>
      <c r="N4232"/>
      <c r="O4232"/>
      <c r="P4232"/>
      <c r="Q4232"/>
    </row>
    <row r="4233" spans="1:33" ht="15" x14ac:dyDescent="0.25">
      <c r="A4233" s="35"/>
      <c r="B4233" s="35"/>
      <c r="C4233" s="35"/>
      <c r="D4233" s="35"/>
      <c r="E4233" s="35"/>
      <c r="F4233" s="35"/>
      <c r="G4233" s="35"/>
      <c r="H4233" s="35"/>
      <c r="I4233" s="36">
        <f>J4229+J4230+J4231</f>
        <v>7226.6900000000005</v>
      </c>
      <c r="J4233" s="36"/>
      <c r="K4233" s="37">
        <f>IF([1]Source!I5326&lt;&gt;0, ROUND(I4233/[1]Source!I5326, 2), 0)</f>
        <v>114709.37</v>
      </c>
      <c r="M4233"/>
      <c r="N4233"/>
      <c r="O4233"/>
      <c r="P4233"/>
      <c r="Q4233"/>
      <c r="AA4233" s="38">
        <f>I4233</f>
        <v>7226.6900000000005</v>
      </c>
    </row>
    <row r="4234" spans="1:33" ht="42.75" x14ac:dyDescent="0.2">
      <c r="A4234" s="31">
        <v>531</v>
      </c>
      <c r="B4234" s="31" t="str">
        <f>[1]Source!F5327</f>
        <v>5.3-1102-8-1/1</v>
      </c>
      <c r="C4234" s="31" t="str">
        <f>[1]Source!G5327</f>
        <v>Уборка свежевыпавшего снега вручную толщиной слоя до 10 см ( S= 18 м2*0,3*0,5=2,7м2)</v>
      </c>
      <c r="D4234" s="32" t="str">
        <f>[1]Source!H5327</f>
        <v>100 м2</v>
      </c>
      <c r="E4234" s="4">
        <f>[1]Source!I5327</f>
        <v>2.7E-2</v>
      </c>
      <c r="F4234" s="33"/>
      <c r="G4234" s="34"/>
      <c r="H4234" s="4"/>
      <c r="I4234" s="4"/>
      <c r="J4234" s="33"/>
      <c r="K4234" s="33"/>
      <c r="M4234"/>
      <c r="N4234"/>
      <c r="O4234"/>
      <c r="P4234"/>
      <c r="Q4234"/>
      <c r="AB4234">
        <f>ROUND(([1]Source!BZ5327/100)*ROUND(([1]Source!AF5327*[1]Source!AV5327)*[1]Source!I5327, 2), 2)</f>
        <v>2046.74</v>
      </c>
      <c r="AC4234">
        <f>[1]Source!X5327</f>
        <v>2046.74</v>
      </c>
      <c r="AD4234">
        <f>ROUND(([1]Source!CA5327/100)*ROUND(([1]Source!AF5327*[1]Source!AV5327)*[1]Source!I5327, 2), 2)</f>
        <v>292.39</v>
      </c>
      <c r="AE4234">
        <f>[1]Source!Y5327</f>
        <v>292.39</v>
      </c>
      <c r="AF4234">
        <f>ROUND((175/100)*ROUND(([1]Source!AE5327*[1]Source!AV5327)*[1]Source!I5327, 2), 2)</f>
        <v>0</v>
      </c>
      <c r="AG4234">
        <f>ROUND((108/100)*ROUND([1]Source!CS5327*[1]Source!I5327, 2), 2)</f>
        <v>0</v>
      </c>
    </row>
    <row r="4235" spans="1:33" x14ac:dyDescent="0.2">
      <c r="C4235" s="40" t="str">
        <f>"Объем: "&amp;[1]Source!I5327&amp;"=2,7/"&amp;"100"</f>
        <v>Объем: 0,027=2,7/100</v>
      </c>
      <c r="M4235"/>
      <c r="N4235"/>
      <c r="O4235"/>
      <c r="P4235"/>
      <c r="Q4235"/>
    </row>
    <row r="4236" spans="1:33" ht="14.25" x14ac:dyDescent="0.2">
      <c r="A4236" s="31"/>
      <c r="B4236" s="31"/>
      <c r="C4236" s="31" t="s">
        <v>34</v>
      </c>
      <c r="D4236" s="32"/>
      <c r="E4236" s="4"/>
      <c r="F4236" s="33">
        <f>[1]Source!AO5327</f>
        <v>161.15</v>
      </c>
      <c r="G4236" s="34" t="str">
        <f>[1]Source!DG5327</f>
        <v>*4*168</v>
      </c>
      <c r="H4236" s="4">
        <f>[1]Source!AV5327</f>
        <v>1</v>
      </c>
      <c r="I4236" s="4">
        <f>IF([1]Source!BA5327&lt;&gt; 0, [1]Source!BA5327, 1)</f>
        <v>1</v>
      </c>
      <c r="J4236" s="33">
        <f>[1]Source!S5327</f>
        <v>2923.91</v>
      </c>
      <c r="K4236" s="33"/>
      <c r="M4236"/>
      <c r="N4236"/>
      <c r="O4236"/>
      <c r="P4236"/>
      <c r="Q4236"/>
    </row>
    <row r="4237" spans="1:33" ht="14.25" x14ac:dyDescent="0.2">
      <c r="A4237" s="31"/>
      <c r="B4237" s="31"/>
      <c r="C4237" s="31" t="s">
        <v>40</v>
      </c>
      <c r="D4237" s="32" t="s">
        <v>39</v>
      </c>
      <c r="E4237" s="4">
        <f>[1]Source!AT5327</f>
        <v>70</v>
      </c>
      <c r="F4237" s="33"/>
      <c r="G4237" s="34"/>
      <c r="H4237" s="4"/>
      <c r="I4237" s="4"/>
      <c r="J4237" s="33">
        <f>SUM(AC4234:AC4236)</f>
        <v>2046.74</v>
      </c>
      <c r="K4237" s="33"/>
      <c r="M4237"/>
      <c r="N4237"/>
      <c r="O4237"/>
      <c r="P4237"/>
      <c r="Q4237"/>
    </row>
    <row r="4238" spans="1:33" ht="14.25" x14ac:dyDescent="0.2">
      <c r="A4238" s="31"/>
      <c r="B4238" s="31"/>
      <c r="C4238" s="31" t="s">
        <v>41</v>
      </c>
      <c r="D4238" s="32" t="s">
        <v>39</v>
      </c>
      <c r="E4238" s="4">
        <f>[1]Source!AU5327</f>
        <v>10</v>
      </c>
      <c r="F4238" s="33"/>
      <c r="G4238" s="34"/>
      <c r="H4238" s="4"/>
      <c r="I4238" s="4"/>
      <c r="J4238" s="33">
        <f>SUM(AE4234:AE4237)</f>
        <v>292.39</v>
      </c>
      <c r="K4238" s="33"/>
      <c r="M4238"/>
      <c r="N4238"/>
      <c r="O4238"/>
      <c r="P4238"/>
      <c r="Q4238"/>
    </row>
    <row r="4239" spans="1:33" ht="14.25" x14ac:dyDescent="0.2">
      <c r="A4239" s="31"/>
      <c r="B4239" s="31"/>
      <c r="C4239" s="31" t="s">
        <v>42</v>
      </c>
      <c r="D4239" s="32" t="s">
        <v>43</v>
      </c>
      <c r="E4239" s="4">
        <f>[1]Source!AQ5327</f>
        <v>0.65</v>
      </c>
      <c r="F4239" s="33"/>
      <c r="G4239" s="34" t="str">
        <f>[1]Source!DI5327</f>
        <v>*4*168</v>
      </c>
      <c r="H4239" s="4">
        <f>[1]Source!AV5327</f>
        <v>1</v>
      </c>
      <c r="I4239" s="4"/>
      <c r="J4239" s="33"/>
      <c r="K4239" s="33">
        <f>[1]Source!U5327</f>
        <v>11.7936</v>
      </c>
      <c r="M4239"/>
      <c r="N4239"/>
      <c r="O4239"/>
      <c r="P4239"/>
      <c r="Q4239"/>
    </row>
    <row r="4240" spans="1:33" ht="15" x14ac:dyDescent="0.25">
      <c r="A4240" s="35"/>
      <c r="B4240" s="35"/>
      <c r="C4240" s="35"/>
      <c r="D4240" s="35"/>
      <c r="E4240" s="35"/>
      <c r="F4240" s="35"/>
      <c r="G4240" s="35"/>
      <c r="H4240" s="35"/>
      <c r="I4240" s="36">
        <f>J4236+J4237+J4238</f>
        <v>5263.04</v>
      </c>
      <c r="J4240" s="36"/>
      <c r="K4240" s="37">
        <f>IF([1]Source!I5327&lt;&gt;0, ROUND(I4240/[1]Source!I5327, 2), 0)</f>
        <v>194927.41</v>
      </c>
      <c r="M4240"/>
      <c r="N4240"/>
      <c r="O4240"/>
      <c r="P4240"/>
      <c r="Q4240"/>
      <c r="AA4240" s="38">
        <f>I4240</f>
        <v>5263.04</v>
      </c>
    </row>
    <row r="4241" spans="1:33" ht="57" x14ac:dyDescent="0.2">
      <c r="A4241" s="31">
        <v>532</v>
      </c>
      <c r="B4241" s="31" t="str">
        <f>[1]Source!F5328</f>
        <v>5.3-1102-8-2/1</v>
      </c>
      <c r="C4241" s="31" t="str">
        <f>[1]Source!G5328</f>
        <v>Уборка свежевыпавшего снега вручную, добавлять на каждые следующие 10 см увеличения толщины слоя</v>
      </c>
      <c r="D4241" s="32" t="str">
        <f>[1]Source!H5328</f>
        <v>100 м2</v>
      </c>
      <c r="E4241" s="4">
        <f>[1]Source!I5328</f>
        <v>2.7E-2</v>
      </c>
      <c r="F4241" s="33"/>
      <c r="G4241" s="34"/>
      <c r="H4241" s="4"/>
      <c r="I4241" s="4"/>
      <c r="J4241" s="33"/>
      <c r="K4241" s="33"/>
      <c r="M4241"/>
      <c r="N4241"/>
      <c r="O4241"/>
      <c r="P4241"/>
      <c r="Q4241"/>
      <c r="AB4241">
        <f>ROUND(([1]Source!BZ5328/100)*ROUND(([1]Source!AF5328*[1]Source!AV5328)*[1]Source!I5328, 2), 2)</f>
        <v>1480.02</v>
      </c>
      <c r="AC4241">
        <f>[1]Source!X5328</f>
        <v>1480.02</v>
      </c>
      <c r="AD4241">
        <f>ROUND(([1]Source!CA5328/100)*ROUND(([1]Source!AF5328*[1]Source!AV5328)*[1]Source!I5328, 2), 2)</f>
        <v>211.43</v>
      </c>
      <c r="AE4241">
        <f>[1]Source!Y5328</f>
        <v>211.43</v>
      </c>
      <c r="AF4241">
        <f>ROUND((175/100)*ROUND(([1]Source!AE5328*[1]Source!AV5328)*[1]Source!I5328, 2), 2)</f>
        <v>0</v>
      </c>
      <c r="AG4241">
        <f>ROUND((108/100)*ROUND([1]Source!CS5328*[1]Source!I5328, 2), 2)</f>
        <v>0</v>
      </c>
    </row>
    <row r="4242" spans="1:33" x14ac:dyDescent="0.2">
      <c r="C4242" s="40" t="str">
        <f>"Объем: "&amp;[1]Source!I5328&amp;"=2,7/"&amp;"100"</f>
        <v>Объем: 0,027=2,7/100</v>
      </c>
      <c r="M4242"/>
      <c r="N4242"/>
      <c r="O4242"/>
      <c r="P4242"/>
      <c r="Q4242"/>
    </row>
    <row r="4243" spans="1:33" ht="14.25" x14ac:dyDescent="0.2">
      <c r="A4243" s="31"/>
      <c r="B4243" s="31"/>
      <c r="C4243" s="31" t="s">
        <v>34</v>
      </c>
      <c r="D4243" s="32"/>
      <c r="E4243" s="4"/>
      <c r="F4243" s="33">
        <f>[1]Source!AO5328</f>
        <v>116.53</v>
      </c>
      <c r="G4243" s="34" t="str">
        <f>[1]Source!DG5328</f>
        <v>*4*168</v>
      </c>
      <c r="H4243" s="4">
        <f>[1]Source!AV5328</f>
        <v>1</v>
      </c>
      <c r="I4243" s="4">
        <f>IF([1]Source!BA5328&lt;&gt; 0, [1]Source!BA5328, 1)</f>
        <v>1</v>
      </c>
      <c r="J4243" s="33">
        <f>[1]Source!S5328</f>
        <v>2114.3200000000002</v>
      </c>
      <c r="K4243" s="33"/>
      <c r="M4243"/>
      <c r="N4243"/>
      <c r="O4243"/>
      <c r="P4243"/>
      <c r="Q4243"/>
    </row>
    <row r="4244" spans="1:33" ht="14.25" x14ac:dyDescent="0.2">
      <c r="A4244" s="31"/>
      <c r="B4244" s="31"/>
      <c r="C4244" s="31" t="s">
        <v>40</v>
      </c>
      <c r="D4244" s="32" t="s">
        <v>39</v>
      </c>
      <c r="E4244" s="4">
        <f>[1]Source!AT5328</f>
        <v>70</v>
      </c>
      <c r="F4244" s="33"/>
      <c r="G4244" s="34"/>
      <c r="H4244" s="4"/>
      <c r="I4244" s="4"/>
      <c r="J4244" s="33">
        <f>SUM(AC4241:AC4243)</f>
        <v>1480.02</v>
      </c>
      <c r="K4244" s="33"/>
      <c r="M4244"/>
      <c r="N4244"/>
      <c r="O4244"/>
      <c r="P4244"/>
      <c r="Q4244"/>
    </row>
    <row r="4245" spans="1:33" ht="14.25" x14ac:dyDescent="0.2">
      <c r="A4245" s="31"/>
      <c r="B4245" s="31"/>
      <c r="C4245" s="31" t="s">
        <v>41</v>
      </c>
      <c r="D4245" s="32" t="s">
        <v>39</v>
      </c>
      <c r="E4245" s="4">
        <f>[1]Source!AU5328</f>
        <v>10</v>
      </c>
      <c r="F4245" s="33"/>
      <c r="G4245" s="34"/>
      <c r="H4245" s="4"/>
      <c r="I4245" s="4"/>
      <c r="J4245" s="33">
        <f>SUM(AE4241:AE4244)</f>
        <v>211.43</v>
      </c>
      <c r="K4245" s="33"/>
      <c r="M4245"/>
      <c r="N4245"/>
      <c r="O4245"/>
      <c r="P4245"/>
      <c r="Q4245"/>
    </row>
    <row r="4246" spans="1:33" ht="14.25" x14ac:dyDescent="0.2">
      <c r="A4246" s="31"/>
      <c r="B4246" s="31"/>
      <c r="C4246" s="31" t="s">
        <v>42</v>
      </c>
      <c r="D4246" s="32" t="s">
        <v>43</v>
      </c>
      <c r="E4246" s="4">
        <f>[1]Source!AQ5328</f>
        <v>0.47</v>
      </c>
      <c r="F4246" s="33"/>
      <c r="G4246" s="34" t="str">
        <f>[1]Source!DI5328</f>
        <v>*4*168</v>
      </c>
      <c r="H4246" s="4">
        <f>[1]Source!AV5328</f>
        <v>1</v>
      </c>
      <c r="I4246" s="4"/>
      <c r="J4246" s="33"/>
      <c r="K4246" s="33">
        <f>[1]Source!U5328</f>
        <v>8.5276799999999984</v>
      </c>
      <c r="M4246"/>
      <c r="N4246"/>
      <c r="O4246"/>
      <c r="P4246"/>
      <c r="Q4246"/>
    </row>
    <row r="4247" spans="1:33" ht="15" x14ac:dyDescent="0.25">
      <c r="A4247" s="35"/>
      <c r="B4247" s="35"/>
      <c r="C4247" s="35"/>
      <c r="D4247" s="35"/>
      <c r="E4247" s="35"/>
      <c r="F4247" s="35"/>
      <c r="G4247" s="35"/>
      <c r="H4247" s="35"/>
      <c r="I4247" s="36">
        <f>J4243+J4244+J4245</f>
        <v>3805.77</v>
      </c>
      <c r="J4247" s="36"/>
      <c r="K4247" s="37">
        <f>IF([1]Source!I5328&lt;&gt;0, ROUND(I4247/[1]Source!I5328, 2), 0)</f>
        <v>140954.44</v>
      </c>
      <c r="M4247"/>
      <c r="N4247"/>
      <c r="O4247"/>
      <c r="P4247"/>
      <c r="Q4247"/>
      <c r="AA4247" s="38">
        <f>I4247</f>
        <v>3805.77</v>
      </c>
    </row>
    <row r="4248" spans="1:33" ht="42.75" x14ac:dyDescent="0.2">
      <c r="A4248" s="31">
        <v>533</v>
      </c>
      <c r="B4248" s="31" t="str">
        <f>[1]Source!F5329</f>
        <v>5.3-1102-9-1/1</v>
      </c>
      <c r="C4248" s="31" t="str">
        <f>[1]Source!G5329</f>
        <v>Колка льда на обледеневших покрытиях вручную ( S= 18 м2*0,3*0,5= 2,7м2 )</v>
      </c>
      <c r="D4248" s="32" t="str">
        <f>[1]Source!H5329</f>
        <v>100 м2</v>
      </c>
      <c r="E4248" s="4">
        <f>[1]Source!I5329</f>
        <v>2.7E-2</v>
      </c>
      <c r="F4248" s="33"/>
      <c r="G4248" s="34"/>
      <c r="H4248" s="4"/>
      <c r="I4248" s="4"/>
      <c r="J4248" s="33"/>
      <c r="K4248" s="33"/>
      <c r="M4248"/>
      <c r="N4248"/>
      <c r="O4248"/>
      <c r="P4248"/>
      <c r="Q4248"/>
      <c r="AB4248">
        <f>ROUND(([1]Source!BZ5329/100)*ROUND(([1]Source!AF5329*[1]Source!AV5329)*[1]Source!I5329, 2), 2)</f>
        <v>3794.43</v>
      </c>
      <c r="AC4248">
        <f>[1]Source!X5329</f>
        <v>3794.43</v>
      </c>
      <c r="AD4248">
        <f>ROUND(([1]Source!CA5329/100)*ROUND(([1]Source!AF5329*[1]Source!AV5329)*[1]Source!I5329, 2), 2)</f>
        <v>542.05999999999995</v>
      </c>
      <c r="AE4248">
        <f>[1]Source!Y5329</f>
        <v>542.05999999999995</v>
      </c>
      <c r="AF4248">
        <f>ROUND((175/100)*ROUND(([1]Source!AE5329*[1]Source!AV5329)*[1]Source!I5329, 2), 2)</f>
        <v>0</v>
      </c>
      <c r="AG4248">
        <f>ROUND((108/100)*ROUND([1]Source!CS5329*[1]Source!I5329, 2), 2)</f>
        <v>0</v>
      </c>
    </row>
    <row r="4249" spans="1:33" x14ac:dyDescent="0.2">
      <c r="C4249" s="40" t="str">
        <f>"Объем: "&amp;[1]Source!I5329&amp;"=2,7/"&amp;"100"</f>
        <v>Объем: 0,027=2,7/100</v>
      </c>
      <c r="M4249"/>
      <c r="N4249"/>
      <c r="O4249"/>
      <c r="P4249"/>
      <c r="Q4249"/>
    </row>
    <row r="4250" spans="1:33" ht="14.25" x14ac:dyDescent="0.2">
      <c r="A4250" s="31"/>
      <c r="B4250" s="31"/>
      <c r="C4250" s="31" t="s">
        <v>34</v>
      </c>
      <c r="D4250" s="32"/>
      <c r="E4250" s="4"/>
      <c r="F4250" s="33">
        <f>[1]Source!AO5329</f>
        <v>597.51</v>
      </c>
      <c r="G4250" s="34" t="str">
        <f>[1]Source!DG5329</f>
        <v>)*2*168</v>
      </c>
      <c r="H4250" s="4">
        <f>[1]Source!AV5329</f>
        <v>1</v>
      </c>
      <c r="I4250" s="4">
        <f>IF([1]Source!BA5329&lt;&gt; 0, [1]Source!BA5329, 1)</f>
        <v>1</v>
      </c>
      <c r="J4250" s="33">
        <f>[1]Source!S5329</f>
        <v>5420.61</v>
      </c>
      <c r="K4250" s="33"/>
      <c r="M4250"/>
      <c r="N4250"/>
      <c r="O4250"/>
      <c r="P4250"/>
      <c r="Q4250"/>
    </row>
    <row r="4251" spans="1:33" ht="14.25" x14ac:dyDescent="0.2">
      <c r="A4251" s="31"/>
      <c r="B4251" s="31"/>
      <c r="C4251" s="31" t="s">
        <v>40</v>
      </c>
      <c r="D4251" s="32" t="s">
        <v>39</v>
      </c>
      <c r="E4251" s="4">
        <f>[1]Source!AT5329</f>
        <v>70</v>
      </c>
      <c r="F4251" s="33"/>
      <c r="G4251" s="34"/>
      <c r="H4251" s="4"/>
      <c r="I4251" s="4"/>
      <c r="J4251" s="33">
        <f>SUM(AC4248:AC4250)</f>
        <v>3794.43</v>
      </c>
      <c r="K4251" s="33"/>
      <c r="M4251"/>
      <c r="N4251"/>
      <c r="O4251"/>
      <c r="P4251"/>
      <c r="Q4251"/>
    </row>
    <row r="4252" spans="1:33" ht="14.25" x14ac:dyDescent="0.2">
      <c r="A4252" s="31"/>
      <c r="B4252" s="31"/>
      <c r="C4252" s="31" t="s">
        <v>41</v>
      </c>
      <c r="D4252" s="32" t="s">
        <v>39</v>
      </c>
      <c r="E4252" s="4">
        <f>[1]Source!AU5329</f>
        <v>10</v>
      </c>
      <c r="F4252" s="33"/>
      <c r="G4252" s="34"/>
      <c r="H4252" s="4"/>
      <c r="I4252" s="4"/>
      <c r="J4252" s="33">
        <f>SUM(AE4248:AE4251)</f>
        <v>542.05999999999995</v>
      </c>
      <c r="K4252" s="33"/>
      <c r="M4252"/>
      <c r="N4252"/>
      <c r="O4252"/>
      <c r="P4252"/>
      <c r="Q4252"/>
    </row>
    <row r="4253" spans="1:33" ht="14.25" x14ac:dyDescent="0.2">
      <c r="A4253" s="31"/>
      <c r="B4253" s="31"/>
      <c r="C4253" s="31" t="s">
        <v>42</v>
      </c>
      <c r="D4253" s="32" t="s">
        <v>43</v>
      </c>
      <c r="E4253" s="4">
        <f>[1]Source!AQ5329</f>
        <v>2.41</v>
      </c>
      <c r="F4253" s="33"/>
      <c r="G4253" s="34" t="str">
        <f>[1]Source!DI5329</f>
        <v>)*2*168</v>
      </c>
      <c r="H4253" s="4">
        <f>[1]Source!AV5329</f>
        <v>1</v>
      </c>
      <c r="I4253" s="4"/>
      <c r="J4253" s="33"/>
      <c r="K4253" s="33">
        <f>[1]Source!U5329</f>
        <v>21.863520000000001</v>
      </c>
      <c r="M4253"/>
      <c r="N4253"/>
      <c r="O4253"/>
      <c r="P4253"/>
      <c r="Q4253"/>
    </row>
    <row r="4254" spans="1:33" ht="15" x14ac:dyDescent="0.25">
      <c r="A4254" s="35"/>
      <c r="B4254" s="35"/>
      <c r="C4254" s="35"/>
      <c r="D4254" s="35"/>
      <c r="E4254" s="35"/>
      <c r="F4254" s="35"/>
      <c r="G4254" s="35"/>
      <c r="H4254" s="35"/>
      <c r="I4254" s="36">
        <f>J4250+J4251+J4252</f>
        <v>9757.0999999999985</v>
      </c>
      <c r="J4254" s="36"/>
      <c r="K4254" s="37">
        <f>IF([1]Source!I5329&lt;&gt;0, ROUND(I4254/[1]Source!I5329, 2), 0)</f>
        <v>361374.07</v>
      </c>
      <c r="M4254"/>
      <c r="N4254"/>
      <c r="O4254"/>
      <c r="P4254"/>
      <c r="Q4254"/>
      <c r="AA4254" s="38">
        <f>I4254</f>
        <v>9757.0999999999985</v>
      </c>
    </row>
    <row r="4255" spans="1:33" ht="28.5" x14ac:dyDescent="0.2">
      <c r="A4255" s="31">
        <v>534</v>
      </c>
      <c r="B4255" s="31" t="str">
        <f>[1]Source!F5330</f>
        <v>калькуляция</v>
      </c>
      <c r="C4255" s="31" t="str">
        <f>[1]Source!G5330</f>
        <v>Посыпка  гранитной крошкой дорожных покрытий вручную( 100г/м2 )</v>
      </c>
      <c r="D4255" s="32" t="str">
        <f>[1]Source!H5330</f>
        <v>м2</v>
      </c>
      <c r="E4255" s="4">
        <f>[1]Source!I5330</f>
        <v>18</v>
      </c>
      <c r="F4255" s="33"/>
      <c r="G4255" s="34"/>
      <c r="H4255" s="4"/>
      <c r="I4255" s="4"/>
      <c r="J4255" s="33"/>
      <c r="K4255" s="33"/>
      <c r="M4255"/>
      <c r="N4255"/>
      <c r="O4255"/>
      <c r="P4255"/>
      <c r="Q4255"/>
      <c r="AB4255">
        <f>ROUND(([1]Source!BZ5330/100)*ROUND(([1]Source!AF5330*[1]Source!AV5330)*[1]Source!I5330, 2), 2)</f>
        <v>0</v>
      </c>
      <c r="AC4255">
        <f>[1]Source!X5330</f>
        <v>0</v>
      </c>
      <c r="AD4255">
        <f>ROUND(([1]Source!CA5330/100)*ROUND(([1]Source!AF5330*[1]Source!AV5330)*[1]Source!I5330, 2), 2)</f>
        <v>0</v>
      </c>
      <c r="AE4255">
        <f>[1]Source!Y5330</f>
        <v>0</v>
      </c>
      <c r="AF4255">
        <f>ROUND((175/100)*ROUND(([1]Source!AE5330*[1]Source!AV5330)*[1]Source!I5330, 2), 2)</f>
        <v>0</v>
      </c>
      <c r="AG4255">
        <f>ROUND((108/100)*ROUND([1]Source!CS5330*[1]Source!I5330, 2), 2)</f>
        <v>0</v>
      </c>
    </row>
    <row r="4256" spans="1:33" ht="14.25" x14ac:dyDescent="0.2">
      <c r="A4256" s="31"/>
      <c r="B4256" s="31"/>
      <c r="C4256" s="31" t="s">
        <v>34</v>
      </c>
      <c r="D4256" s="32"/>
      <c r="E4256" s="4"/>
      <c r="F4256" s="33">
        <f>[1]Source!AO5330</f>
        <v>2.08</v>
      </c>
      <c r="G4256" s="34" t="str">
        <f>[1]Source!DG5330</f>
        <v>*4*168</v>
      </c>
      <c r="H4256" s="4">
        <f>[1]Source!AV5330</f>
        <v>1</v>
      </c>
      <c r="I4256" s="4">
        <f>IF([1]Source!BA5330&lt;&gt; 0, [1]Source!BA5330, 1)</f>
        <v>1</v>
      </c>
      <c r="J4256" s="33">
        <f>[1]Source!S5330</f>
        <v>25159.68</v>
      </c>
      <c r="K4256" s="33"/>
      <c r="M4256"/>
      <c r="N4256"/>
      <c r="O4256"/>
      <c r="P4256"/>
      <c r="Q4256"/>
    </row>
    <row r="4257" spans="1:33" ht="14.25" x14ac:dyDescent="0.2">
      <c r="A4257" s="31" t="s">
        <v>196</v>
      </c>
      <c r="B4257" s="31" t="str">
        <f>[1]Source!F5331</f>
        <v>цена поставщика</v>
      </c>
      <c r="C4257" s="31" t="str">
        <f>[1]Source!G5331</f>
        <v>Крошка гранитная</v>
      </c>
      <c r="D4257" s="32" t="str">
        <f>[1]Source!H5331</f>
        <v>кг</v>
      </c>
      <c r="E4257" s="4">
        <f>[1]Source!I5331</f>
        <v>1209.5999999999999</v>
      </c>
      <c r="F4257" s="33">
        <f>[1]Source!AK5331</f>
        <v>4.43</v>
      </c>
      <c r="G4257" s="39" t="s">
        <v>68</v>
      </c>
      <c r="H4257" s="4">
        <f>[1]Source!AW5331</f>
        <v>1</v>
      </c>
      <c r="I4257" s="4">
        <f>IF([1]Source!BC5331&lt;&gt; 0, [1]Source!BC5331, 1)</f>
        <v>1</v>
      </c>
      <c r="J4257" s="33">
        <f>[1]Source!O5331</f>
        <v>5358.53</v>
      </c>
      <c r="K4257" s="33"/>
      <c r="M4257"/>
      <c r="N4257"/>
      <c r="O4257"/>
      <c r="P4257"/>
      <c r="Q4257"/>
      <c r="AB4257">
        <f>ROUND(([1]Source!BZ5331/100)*ROUND(([1]Source!AF5331*[1]Source!AV5331)*[1]Source!I5331, 2), 2)</f>
        <v>0</v>
      </c>
      <c r="AC4257">
        <f>[1]Source!X5331</f>
        <v>0</v>
      </c>
      <c r="AD4257">
        <f>ROUND(([1]Source!CA5331/100)*ROUND(([1]Source!AF5331*[1]Source!AV5331)*[1]Source!I5331, 2), 2)</f>
        <v>0</v>
      </c>
      <c r="AE4257">
        <f>[1]Source!Y5331</f>
        <v>0</v>
      </c>
      <c r="AF4257">
        <f>ROUND((175/100)*ROUND(([1]Source!AE5331*[1]Source!AV5331)*[1]Source!I5331, 2), 2)</f>
        <v>0</v>
      </c>
      <c r="AG4257">
        <f>ROUND((108/100)*ROUND([1]Source!CS5331*[1]Source!I5331, 2), 2)</f>
        <v>0</v>
      </c>
    </row>
    <row r="4258" spans="1:33" ht="15" x14ac:dyDescent="0.25">
      <c r="A4258" s="35"/>
      <c r="B4258" s="35"/>
      <c r="C4258" s="35"/>
      <c r="D4258" s="35"/>
      <c r="E4258" s="35"/>
      <c r="F4258" s="35"/>
      <c r="G4258" s="35"/>
      <c r="H4258" s="35"/>
      <c r="I4258" s="36">
        <f>J4256+SUM(J4257:J4257)</f>
        <v>30518.21</v>
      </c>
      <c r="J4258" s="36"/>
      <c r="K4258" s="37">
        <f>IF([1]Source!I5330&lt;&gt;0, ROUND(I4258/[1]Source!I5330, 2), 0)</f>
        <v>1695.46</v>
      </c>
      <c r="M4258"/>
      <c r="N4258"/>
      <c r="O4258"/>
      <c r="P4258"/>
      <c r="Q4258"/>
      <c r="AA4258" s="38">
        <f>I4258</f>
        <v>30518.21</v>
      </c>
    </row>
    <row r="4259" spans="1:33" ht="28.5" x14ac:dyDescent="0.2">
      <c r="A4259" s="31">
        <v>535</v>
      </c>
      <c r="B4259" s="31" t="str">
        <f>[1]Source!F5332</f>
        <v>5.4-1201-1-1/1</v>
      </c>
      <c r="C4259" s="31" t="str">
        <f>[1]Source!G5332</f>
        <v>Сбор случайного мусора по территории</v>
      </c>
      <c r="D4259" s="32" t="str">
        <f>[1]Source!H5332</f>
        <v>100 м2</v>
      </c>
      <c r="E4259" s="4">
        <f>[1]Source!I5332</f>
        <v>0.18</v>
      </c>
      <c r="F4259" s="33"/>
      <c r="G4259" s="34"/>
      <c r="H4259" s="4"/>
      <c r="I4259" s="4"/>
      <c r="J4259" s="33"/>
      <c r="K4259" s="33"/>
      <c r="M4259"/>
      <c r="N4259"/>
      <c r="O4259"/>
      <c r="P4259"/>
      <c r="Q4259"/>
      <c r="AB4259">
        <f>ROUND(([1]Source!BZ5332/100)*ROUND(([1]Source!AF5332*[1]Source!AV5332)*[1]Source!I5332, 2), 2)</f>
        <v>2074.87</v>
      </c>
      <c r="AC4259">
        <f>[1]Source!X5332</f>
        <v>2074.87</v>
      </c>
      <c r="AD4259">
        <f>ROUND(([1]Source!CA5332/100)*ROUND(([1]Source!AF5332*[1]Source!AV5332)*[1]Source!I5332, 2), 2)</f>
        <v>296.41000000000003</v>
      </c>
      <c r="AE4259">
        <f>[1]Source!Y5332</f>
        <v>296.41000000000003</v>
      </c>
      <c r="AF4259">
        <f>ROUND((175/100)*ROUND(([1]Source!AE5332*[1]Source!AV5332)*[1]Source!I5332, 2), 2)</f>
        <v>0</v>
      </c>
      <c r="AG4259">
        <f>ROUND((108/100)*ROUND([1]Source!CS5332*[1]Source!I5332, 2), 2)</f>
        <v>0</v>
      </c>
    </row>
    <row r="4260" spans="1:33" x14ac:dyDescent="0.2">
      <c r="C4260" s="40" t="str">
        <f>"Объем: "&amp;[1]Source!I5332&amp;"=18/"&amp;"100"</f>
        <v>Объем: 0,18=18/100</v>
      </c>
      <c r="M4260"/>
      <c r="N4260"/>
      <c r="O4260"/>
      <c r="P4260"/>
      <c r="Q4260"/>
    </row>
    <row r="4261" spans="1:33" ht="14.25" x14ac:dyDescent="0.2">
      <c r="A4261" s="31"/>
      <c r="B4261" s="31"/>
      <c r="C4261" s="31" t="s">
        <v>34</v>
      </c>
      <c r="D4261" s="32"/>
      <c r="E4261" s="4"/>
      <c r="F4261" s="33">
        <f>[1]Source!AO5332</f>
        <v>12.4</v>
      </c>
      <c r="G4261" s="34" t="str">
        <f>[1]Source!DG5332</f>
        <v>)*4*332</v>
      </c>
      <c r="H4261" s="4">
        <f>[1]Source!AV5332</f>
        <v>1</v>
      </c>
      <c r="I4261" s="4">
        <f>IF([1]Source!BA5332&lt;&gt; 0, [1]Source!BA5332, 1)</f>
        <v>1</v>
      </c>
      <c r="J4261" s="33">
        <f>[1]Source!S5332</f>
        <v>2964.1</v>
      </c>
      <c r="K4261" s="33"/>
      <c r="M4261"/>
      <c r="N4261"/>
      <c r="O4261"/>
      <c r="P4261"/>
      <c r="Q4261"/>
    </row>
    <row r="4262" spans="1:33" ht="14.25" x14ac:dyDescent="0.2">
      <c r="A4262" s="31"/>
      <c r="B4262" s="31"/>
      <c r="C4262" s="31" t="s">
        <v>47</v>
      </c>
      <c r="D4262" s="32"/>
      <c r="E4262" s="4"/>
      <c r="F4262" s="33">
        <f>[1]Source!AL5332</f>
        <v>0.69</v>
      </c>
      <c r="G4262" s="34" t="str">
        <f>[1]Source!DD5332</f>
        <v>)*4*332</v>
      </c>
      <c r="H4262" s="4">
        <f>[1]Source!AW5332</f>
        <v>1</v>
      </c>
      <c r="I4262" s="4">
        <f>IF([1]Source!BC5332&lt;&gt; 0, [1]Source!BC5332, 1)</f>
        <v>1</v>
      </c>
      <c r="J4262" s="33">
        <f>[1]Source!P5332</f>
        <v>164.94</v>
      </c>
      <c r="K4262" s="33"/>
      <c r="M4262"/>
      <c r="N4262"/>
      <c r="O4262"/>
      <c r="P4262"/>
      <c r="Q4262"/>
    </row>
    <row r="4263" spans="1:33" ht="14.25" x14ac:dyDescent="0.2">
      <c r="A4263" s="31"/>
      <c r="B4263" s="31"/>
      <c r="C4263" s="31" t="s">
        <v>40</v>
      </c>
      <c r="D4263" s="32" t="s">
        <v>39</v>
      </c>
      <c r="E4263" s="4">
        <f>[1]Source!AT5332</f>
        <v>70</v>
      </c>
      <c r="F4263" s="33"/>
      <c r="G4263" s="34"/>
      <c r="H4263" s="4"/>
      <c r="I4263" s="4"/>
      <c r="J4263" s="33">
        <f>SUM(AC4259:AC4262)</f>
        <v>2074.87</v>
      </c>
      <c r="K4263" s="33"/>
      <c r="M4263"/>
      <c r="N4263"/>
      <c r="O4263"/>
      <c r="P4263"/>
      <c r="Q4263"/>
    </row>
    <row r="4264" spans="1:33" ht="14.25" x14ac:dyDescent="0.2">
      <c r="A4264" s="31"/>
      <c r="B4264" s="31"/>
      <c r="C4264" s="31" t="s">
        <v>41</v>
      </c>
      <c r="D4264" s="32" t="s">
        <v>39</v>
      </c>
      <c r="E4264" s="4">
        <f>[1]Source!AU5332</f>
        <v>10</v>
      </c>
      <c r="F4264" s="33"/>
      <c r="G4264" s="34"/>
      <c r="H4264" s="4"/>
      <c r="I4264" s="4"/>
      <c r="J4264" s="33">
        <f>SUM(AE4259:AE4263)</f>
        <v>296.41000000000003</v>
      </c>
      <c r="K4264" s="33"/>
      <c r="M4264"/>
      <c r="N4264"/>
      <c r="O4264"/>
      <c r="P4264"/>
      <c r="Q4264"/>
    </row>
    <row r="4265" spans="1:33" ht="14.25" x14ac:dyDescent="0.2">
      <c r="A4265" s="31"/>
      <c r="B4265" s="31"/>
      <c r="C4265" s="31" t="s">
        <v>42</v>
      </c>
      <c r="D4265" s="32" t="s">
        <v>43</v>
      </c>
      <c r="E4265" s="4">
        <f>[1]Source!AQ5332</f>
        <v>0.05</v>
      </c>
      <c r="F4265" s="33"/>
      <c r="G4265" s="34" t="str">
        <f>[1]Source!DI5332</f>
        <v>)*4*332</v>
      </c>
      <c r="H4265" s="4">
        <f>[1]Source!AV5332</f>
        <v>1</v>
      </c>
      <c r="I4265" s="4"/>
      <c r="J4265" s="33"/>
      <c r="K4265" s="33">
        <f>[1]Source!U5332</f>
        <v>11.952</v>
      </c>
      <c r="M4265"/>
      <c r="N4265"/>
      <c r="O4265"/>
      <c r="P4265"/>
      <c r="Q4265"/>
    </row>
    <row r="4266" spans="1:33" ht="15" x14ac:dyDescent="0.25">
      <c r="A4266" s="35"/>
      <c r="B4266" s="35"/>
      <c r="C4266" s="35"/>
      <c r="D4266" s="35"/>
      <c r="E4266" s="35"/>
      <c r="F4266" s="35"/>
      <c r="G4266" s="35"/>
      <c r="H4266" s="35"/>
      <c r="I4266" s="36">
        <f>J4261+J4262+J4263+J4264</f>
        <v>5500.32</v>
      </c>
      <c r="J4266" s="36"/>
      <c r="K4266" s="37">
        <f>IF([1]Source!I5332&lt;&gt;0, ROUND(I4266/[1]Source!I5332, 2), 0)</f>
        <v>30557.33</v>
      </c>
      <c r="M4266"/>
      <c r="N4266"/>
      <c r="O4266"/>
      <c r="P4266"/>
      <c r="Q4266"/>
      <c r="AA4266" s="38">
        <f>I4266</f>
        <v>5500.32</v>
      </c>
    </row>
    <row r="4267" spans="1:33" x14ac:dyDescent="0.2">
      <c r="M4267"/>
      <c r="N4267"/>
      <c r="O4267"/>
      <c r="P4267"/>
      <c r="Q4267"/>
    </row>
    <row r="4268" spans="1:33" ht="15" x14ac:dyDescent="0.25">
      <c r="A4268" s="42" t="str">
        <f>CONCATENATE("Итого по подразделу: ",IF([1]Source!G5334&lt;&gt;"Новый подраздел", [1]Source!G5334, ""))</f>
        <v>Итого по подразделу: Уход за покрытием пандуса</v>
      </c>
      <c r="B4268" s="42"/>
      <c r="C4268" s="42"/>
      <c r="D4268" s="42"/>
      <c r="E4268" s="42"/>
      <c r="F4268" s="42"/>
      <c r="G4268" s="42"/>
      <c r="H4268" s="42"/>
      <c r="I4268" s="43">
        <f>SUM(AA4216:AA4267)</f>
        <v>89938.109999999986</v>
      </c>
      <c r="J4268" s="44"/>
      <c r="K4268" s="47"/>
      <c r="L4268" s="38">
        <f>I4268</f>
        <v>89938.109999999986</v>
      </c>
      <c r="M4268" s="2">
        <f>ROUND(I4268*$I$4874,2)</f>
        <v>64953.919999999998</v>
      </c>
      <c r="N4268" s="2">
        <f>ROUND(M4268*1.2/105*100,2)</f>
        <v>74233.05</v>
      </c>
      <c r="O4268" s="2">
        <f>ROUND(N4268*0.05,2)</f>
        <v>3711.65</v>
      </c>
      <c r="P4268" s="2">
        <f>N4268+O4268</f>
        <v>77944.7</v>
      </c>
      <c r="Q4268" s="3">
        <v>10</v>
      </c>
      <c r="S4268" s="2">
        <v>14278.81</v>
      </c>
    </row>
    <row r="4269" spans="1:33" x14ac:dyDescent="0.2">
      <c r="M4269"/>
      <c r="N4269"/>
      <c r="O4269"/>
      <c r="P4269"/>
      <c r="Q4269"/>
    </row>
    <row r="4270" spans="1:33" x14ac:dyDescent="0.2">
      <c r="M4270"/>
      <c r="N4270"/>
      <c r="O4270"/>
      <c r="P4270"/>
      <c r="Q4270"/>
    </row>
    <row r="4271" spans="1:33" ht="15" x14ac:dyDescent="0.25">
      <c r="A4271" s="42" t="str">
        <f>CONCATENATE("Итого по разделу: ",IF([1]Source!G5364&lt;&gt;"Новый раздел", [1]Source!G5364, ""))</f>
        <v>Итого по разделу: Китайгородский проезд ( S=573,66 м2 ).</v>
      </c>
      <c r="B4271" s="42"/>
      <c r="C4271" s="42"/>
      <c r="D4271" s="42"/>
      <c r="E4271" s="42"/>
      <c r="F4271" s="42"/>
      <c r="G4271" s="42"/>
      <c r="H4271" s="42"/>
      <c r="I4271" s="43">
        <f>SUM(AA4134:AA4270)</f>
        <v>2934922.36</v>
      </c>
      <c r="J4271" s="44"/>
      <c r="K4271" s="47"/>
      <c r="L4271" s="38">
        <f>I4271</f>
        <v>2934922.36</v>
      </c>
      <c r="M4271" s="2">
        <f>M4198+M4213+M4268</f>
        <v>2119621.02</v>
      </c>
      <c r="N4271" s="2">
        <f>N4198+N4213+N4268</f>
        <v>2422424.02</v>
      </c>
      <c r="O4271" s="2">
        <f>ROUND(N4271*0.05,2)</f>
        <v>121121.2</v>
      </c>
      <c r="P4271" s="2">
        <f>SUM(P4198:P4268)</f>
        <v>2543545.2100000004</v>
      </c>
      <c r="Q4271" s="48"/>
      <c r="R4271">
        <v>2</v>
      </c>
    </row>
    <row r="4272" spans="1:33" x14ac:dyDescent="0.2">
      <c r="M4272"/>
      <c r="N4272"/>
      <c r="O4272"/>
      <c r="P4272"/>
      <c r="Q4272"/>
    </row>
    <row r="4273" spans="1:33" x14ac:dyDescent="0.2">
      <c r="M4273"/>
      <c r="N4273"/>
      <c r="O4273"/>
      <c r="P4273"/>
      <c r="Q4273"/>
    </row>
    <row r="4274" spans="1:33" ht="16.5" x14ac:dyDescent="0.25">
      <c r="A4274" s="29" t="str">
        <f>CONCATENATE("Раздел: ",IF([1]Source!G5394&lt;&gt;"Новый раздел", [1]Source!G5394, ""))</f>
        <v>Раздел: Сбор и перемещение снега и скола к месту временного размещения( 2024г.)</v>
      </c>
      <c r="B4274" s="29"/>
      <c r="C4274" s="29"/>
      <c r="D4274" s="29"/>
      <c r="E4274" s="29"/>
      <c r="F4274" s="29"/>
      <c r="G4274" s="29"/>
      <c r="H4274" s="29"/>
      <c r="I4274" s="29"/>
      <c r="J4274" s="29"/>
      <c r="K4274" s="29"/>
      <c r="M4274"/>
      <c r="N4274"/>
      <c r="O4274"/>
      <c r="P4274"/>
      <c r="Q4274"/>
    </row>
    <row r="4275" spans="1:33" ht="85.5" x14ac:dyDescent="0.2">
      <c r="A4275" s="31">
        <v>536</v>
      </c>
      <c r="B4275" s="31" t="str">
        <f>[1]Source!F5398</f>
        <v>5.3-1102-25-1/1</v>
      </c>
      <c r="C4275" s="31" t="str">
        <f>[1]Source!G5398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</c>
      <c r="D4275" s="32" t="str">
        <f>[1]Source!H5398</f>
        <v>м3</v>
      </c>
      <c r="E4275" s="4">
        <f>[1]Source!I5398</f>
        <v>243.5</v>
      </c>
      <c r="F4275" s="33"/>
      <c r="G4275" s="34"/>
      <c r="H4275" s="4"/>
      <c r="I4275" s="4"/>
      <c r="J4275" s="33"/>
      <c r="K4275" s="33"/>
      <c r="M4275"/>
      <c r="N4275"/>
      <c r="O4275"/>
      <c r="P4275"/>
      <c r="Q4275"/>
      <c r="AB4275">
        <f>ROUND(([1]Source!BZ5398/100)*ROUND(([1]Source!AF5398*[1]Source!AV5398)*[1]Source!I5398, 2), 2)</f>
        <v>15635.38</v>
      </c>
      <c r="AC4275">
        <f>[1]Source!X5398</f>
        <v>15635.38</v>
      </c>
      <c r="AD4275">
        <f>ROUND(([1]Source!CA5398/100)*ROUND(([1]Source!AF5398*[1]Source!AV5398)*[1]Source!I5398, 2), 2)</f>
        <v>2233.63</v>
      </c>
      <c r="AE4275">
        <f>[1]Source!Y5398</f>
        <v>2233.63</v>
      </c>
      <c r="AF4275">
        <f>ROUND((175/100)*ROUND(([1]Source!AE5398*[1]Source!AV5398)*[1]Source!I5398, 2), 2)</f>
        <v>78645.63</v>
      </c>
      <c r="AG4275">
        <f>ROUND((108/100)*ROUND([1]Source!CS5398*[1]Source!I5398, 2), 2)</f>
        <v>48535.59</v>
      </c>
    </row>
    <row r="4276" spans="1:33" ht="14.25" x14ac:dyDescent="0.2">
      <c r="A4276" s="31"/>
      <c r="B4276" s="31"/>
      <c r="C4276" s="31" t="s">
        <v>34</v>
      </c>
      <c r="D4276" s="32"/>
      <c r="E4276" s="4"/>
      <c r="F4276" s="33">
        <f>[1]Source!AO5398</f>
        <v>91.73</v>
      </c>
      <c r="G4276" s="34" t="str">
        <f>[1]Source!DG5398</f>
        <v>)*1</v>
      </c>
      <c r="H4276" s="4">
        <f>[1]Source!AV5398</f>
        <v>1</v>
      </c>
      <c r="I4276" s="4">
        <f>IF([1]Source!BA5398&lt;&gt; 0, [1]Source!BA5398, 1)</f>
        <v>1</v>
      </c>
      <c r="J4276" s="33">
        <f>[1]Source!S5398</f>
        <v>22336.26</v>
      </c>
      <c r="K4276" s="33"/>
      <c r="M4276"/>
      <c r="N4276"/>
      <c r="O4276"/>
      <c r="P4276"/>
      <c r="Q4276"/>
    </row>
    <row r="4277" spans="1:33" ht="14.25" x14ac:dyDescent="0.2">
      <c r="A4277" s="31"/>
      <c r="B4277" s="31"/>
      <c r="C4277" s="31" t="s">
        <v>33</v>
      </c>
      <c r="D4277" s="32"/>
      <c r="E4277" s="4"/>
      <c r="F4277" s="33">
        <f>[1]Source!AM5398</f>
        <v>382.15</v>
      </c>
      <c r="G4277" s="34" t="str">
        <f>[1]Source!DE5398</f>
        <v>)*1</v>
      </c>
      <c r="H4277" s="4">
        <f>[1]Source!AV5398</f>
        <v>1</v>
      </c>
      <c r="I4277" s="4">
        <f>IF([1]Source!BB5398&lt;&gt; 0, [1]Source!BB5398, 1)</f>
        <v>1</v>
      </c>
      <c r="J4277" s="33">
        <f>[1]Source!Q5398</f>
        <v>93053.53</v>
      </c>
      <c r="K4277" s="33"/>
      <c r="M4277"/>
      <c r="N4277"/>
      <c r="O4277"/>
      <c r="P4277"/>
      <c r="Q4277"/>
    </row>
    <row r="4278" spans="1:33" ht="14.25" x14ac:dyDescent="0.2">
      <c r="A4278" s="31"/>
      <c r="B4278" s="31"/>
      <c r="C4278" s="31" t="s">
        <v>37</v>
      </c>
      <c r="D4278" s="32"/>
      <c r="E4278" s="4"/>
      <c r="F4278" s="33">
        <f>[1]Source!AN5398</f>
        <v>184.56</v>
      </c>
      <c r="G4278" s="34" t="str">
        <f>[1]Source!DF5398</f>
        <v>)*1</v>
      </c>
      <c r="H4278" s="4">
        <f>[1]Source!AV5398</f>
        <v>1</v>
      </c>
      <c r="I4278" s="4">
        <f>IF([1]Source!BS5398&lt;&gt; 0, [1]Source!BS5398, 1)</f>
        <v>1</v>
      </c>
      <c r="J4278" s="41">
        <f>[1]Source!R5398</f>
        <v>44940.36</v>
      </c>
      <c r="K4278" s="33"/>
      <c r="M4278"/>
      <c r="N4278"/>
      <c r="O4278"/>
      <c r="P4278"/>
      <c r="Q4278"/>
    </row>
    <row r="4279" spans="1:33" ht="14.25" x14ac:dyDescent="0.2">
      <c r="A4279" s="31"/>
      <c r="B4279" s="31"/>
      <c r="C4279" s="31" t="s">
        <v>40</v>
      </c>
      <c r="D4279" s="32" t="s">
        <v>39</v>
      </c>
      <c r="E4279" s="4">
        <f>[1]Source!AT5398</f>
        <v>70</v>
      </c>
      <c r="F4279" s="33"/>
      <c r="G4279" s="34"/>
      <c r="H4279" s="4"/>
      <c r="I4279" s="4"/>
      <c r="J4279" s="33">
        <f>SUM(AC4275:AC4278)</f>
        <v>15635.38</v>
      </c>
      <c r="K4279" s="33"/>
      <c r="M4279"/>
      <c r="N4279"/>
      <c r="O4279"/>
      <c r="P4279"/>
      <c r="Q4279"/>
    </row>
    <row r="4280" spans="1:33" ht="14.25" x14ac:dyDescent="0.2">
      <c r="A4280" s="31"/>
      <c r="B4280" s="31"/>
      <c r="C4280" s="31" t="s">
        <v>41</v>
      </c>
      <c r="D4280" s="32" t="s">
        <v>39</v>
      </c>
      <c r="E4280" s="4">
        <f>[1]Source!AU5398</f>
        <v>10</v>
      </c>
      <c r="F4280" s="33"/>
      <c r="G4280" s="34"/>
      <c r="H4280" s="4"/>
      <c r="I4280" s="4"/>
      <c r="J4280" s="33">
        <f>SUM(AE4275:AE4279)</f>
        <v>2233.63</v>
      </c>
      <c r="K4280" s="33"/>
      <c r="M4280"/>
      <c r="N4280"/>
      <c r="O4280"/>
      <c r="P4280"/>
      <c r="Q4280"/>
    </row>
    <row r="4281" spans="1:33" ht="14.25" x14ac:dyDescent="0.2">
      <c r="A4281" s="31"/>
      <c r="B4281" s="31"/>
      <c r="C4281" s="31" t="s">
        <v>38</v>
      </c>
      <c r="D4281" s="32" t="s">
        <v>39</v>
      </c>
      <c r="E4281" s="4">
        <f>108</f>
        <v>108</v>
      </c>
      <c r="F4281" s="33"/>
      <c r="G4281" s="34"/>
      <c r="H4281" s="4"/>
      <c r="I4281" s="4"/>
      <c r="J4281" s="33">
        <f>SUM(AG4275:AG4280)</f>
        <v>48535.59</v>
      </c>
      <c r="K4281" s="33"/>
      <c r="M4281"/>
      <c r="N4281"/>
      <c r="O4281"/>
      <c r="P4281"/>
      <c r="Q4281"/>
    </row>
    <row r="4282" spans="1:33" ht="14.25" x14ac:dyDescent="0.2">
      <c r="A4282" s="31"/>
      <c r="B4282" s="31"/>
      <c r="C4282" s="31" t="s">
        <v>42</v>
      </c>
      <c r="D4282" s="32" t="s">
        <v>43</v>
      </c>
      <c r="E4282" s="4">
        <f>[1]Source!AQ5398</f>
        <v>0.37</v>
      </c>
      <c r="F4282" s="33"/>
      <c r="G4282" s="34" t="str">
        <f>[1]Source!DI5398</f>
        <v>)*1</v>
      </c>
      <c r="H4282" s="4">
        <f>[1]Source!AV5398</f>
        <v>1</v>
      </c>
      <c r="I4282" s="4"/>
      <c r="J4282" s="33"/>
      <c r="K4282" s="33">
        <f>[1]Source!U5398</f>
        <v>90.094999999999999</v>
      </c>
      <c r="M4282"/>
      <c r="N4282"/>
      <c r="O4282"/>
      <c r="P4282"/>
      <c r="Q4282"/>
    </row>
    <row r="4283" spans="1:33" ht="15" x14ac:dyDescent="0.25">
      <c r="A4283" s="35"/>
      <c r="B4283" s="35"/>
      <c r="C4283" s="35"/>
      <c r="D4283" s="35"/>
      <c r="E4283" s="35"/>
      <c r="F4283" s="35"/>
      <c r="G4283" s="35"/>
      <c r="H4283" s="35"/>
      <c r="I4283" s="36">
        <f>J4276+J4277+J4279+J4280+J4281</f>
        <v>181794.38999999998</v>
      </c>
      <c r="J4283" s="36"/>
      <c r="K4283" s="37">
        <f>IF([1]Source!I5398&lt;&gt;0, ROUND(I4283/[1]Source!I5398, 2), 0)</f>
        <v>746.59</v>
      </c>
      <c r="M4283"/>
      <c r="N4283"/>
      <c r="O4283"/>
      <c r="P4283"/>
      <c r="Q4283"/>
      <c r="AA4283" s="38">
        <f>I4283</f>
        <v>181794.38999999998</v>
      </c>
    </row>
    <row r="4284" spans="1:33" ht="85.5" x14ac:dyDescent="0.2">
      <c r="A4284" s="31">
        <v>537</v>
      </c>
      <c r="B4284" s="31" t="str">
        <f>[1]Source!F5399</f>
        <v>5.3-1102-25-2/1</v>
      </c>
      <c r="C4284" s="31" t="str">
        <f>[1]Source!G5399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284" s="32" t="str">
        <f>[1]Source!H5399</f>
        <v>м3</v>
      </c>
      <c r="E4284" s="4">
        <f>[1]Source!I5399</f>
        <v>-243.5</v>
      </c>
      <c r="F4284" s="33"/>
      <c r="G4284" s="34"/>
      <c r="H4284" s="4"/>
      <c r="I4284" s="4"/>
      <c r="J4284" s="33"/>
      <c r="K4284" s="33"/>
      <c r="M4284"/>
      <c r="N4284"/>
      <c r="O4284"/>
      <c r="P4284"/>
      <c r="Q4284"/>
      <c r="AB4284">
        <f>ROUND(([1]Source!BZ5399/100)*ROUND(([1]Source!AF5399*[1]Source!AV5399)*[1]Source!I5399, 2), 2)</f>
        <v>-5072.59</v>
      </c>
      <c r="AC4284">
        <f>[1]Source!X5399</f>
        <v>-5072.59</v>
      </c>
      <c r="AD4284">
        <f>ROUND(([1]Source!CA5399/100)*ROUND(([1]Source!AF5399*[1]Source!AV5399)*[1]Source!I5399, 2), 2)</f>
        <v>-724.66</v>
      </c>
      <c r="AE4284">
        <f>[1]Source!Y5399</f>
        <v>-724.66</v>
      </c>
      <c r="AF4284">
        <f>ROUND((175/100)*ROUND(([1]Source!AE5399*[1]Source!AV5399)*[1]Source!I5399, 2), 2)</f>
        <v>-20351.73</v>
      </c>
      <c r="AG4284">
        <f>ROUND((108/100)*ROUND([1]Source!CS5399*[1]Source!I5399, 2), 2)</f>
        <v>-12559.92</v>
      </c>
    </row>
    <row r="4285" spans="1:33" ht="14.25" x14ac:dyDescent="0.2">
      <c r="A4285" s="31"/>
      <c r="B4285" s="31"/>
      <c r="C4285" s="31" t="s">
        <v>34</v>
      </c>
      <c r="D4285" s="32"/>
      <c r="E4285" s="4"/>
      <c r="F4285" s="33">
        <f>[1]Source!AO5399</f>
        <v>7.44</v>
      </c>
      <c r="G4285" s="34" t="str">
        <f>[1]Source!DG5399</f>
        <v>)*4</v>
      </c>
      <c r="H4285" s="4">
        <f>[1]Source!AV5399</f>
        <v>1</v>
      </c>
      <c r="I4285" s="4">
        <f>IF([1]Source!BA5399&lt;&gt; 0, [1]Source!BA5399, 1)</f>
        <v>1</v>
      </c>
      <c r="J4285" s="33">
        <f>[1]Source!S5399</f>
        <v>-7246.56</v>
      </c>
      <c r="K4285" s="33"/>
      <c r="M4285"/>
      <c r="N4285"/>
      <c r="O4285"/>
      <c r="P4285"/>
      <c r="Q4285"/>
    </row>
    <row r="4286" spans="1:33" ht="14.25" x14ac:dyDescent="0.2">
      <c r="A4286" s="31"/>
      <c r="B4286" s="31"/>
      <c r="C4286" s="31" t="s">
        <v>33</v>
      </c>
      <c r="D4286" s="32"/>
      <c r="E4286" s="4"/>
      <c r="F4286" s="33">
        <f>[1]Source!AM5399</f>
        <v>24.73</v>
      </c>
      <c r="G4286" s="34" t="str">
        <f>[1]Source!DE5399</f>
        <v>)*4</v>
      </c>
      <c r="H4286" s="4">
        <f>[1]Source!AV5399</f>
        <v>1</v>
      </c>
      <c r="I4286" s="4">
        <f>IF([1]Source!BB5399&lt;&gt; 0, [1]Source!BB5399, 1)</f>
        <v>1</v>
      </c>
      <c r="J4286" s="33">
        <f>[1]Source!Q5399</f>
        <v>-24087.02</v>
      </c>
      <c r="K4286" s="33"/>
      <c r="M4286"/>
      <c r="N4286"/>
      <c r="O4286"/>
      <c r="P4286"/>
      <c r="Q4286"/>
    </row>
    <row r="4287" spans="1:33" ht="14.25" x14ac:dyDescent="0.2">
      <c r="A4287" s="31"/>
      <c r="B4287" s="31"/>
      <c r="C4287" s="31" t="s">
        <v>37</v>
      </c>
      <c r="D4287" s="32"/>
      <c r="E4287" s="4"/>
      <c r="F4287" s="33">
        <f>[1]Source!AN5399</f>
        <v>11.94</v>
      </c>
      <c r="G4287" s="34" t="str">
        <f>[1]Source!DF5399</f>
        <v>)*4</v>
      </c>
      <c r="H4287" s="4">
        <f>[1]Source!AV5399</f>
        <v>1</v>
      </c>
      <c r="I4287" s="4">
        <f>IF([1]Source!BS5399&lt;&gt; 0, [1]Source!BS5399, 1)</f>
        <v>1</v>
      </c>
      <c r="J4287" s="41">
        <f>[1]Source!R5399</f>
        <v>-11629.56</v>
      </c>
      <c r="K4287" s="33"/>
      <c r="M4287"/>
      <c r="N4287"/>
      <c r="O4287"/>
      <c r="P4287"/>
      <c r="Q4287"/>
    </row>
    <row r="4288" spans="1:33" ht="14.25" x14ac:dyDescent="0.2">
      <c r="A4288" s="31"/>
      <c r="B4288" s="31"/>
      <c r="C4288" s="31" t="s">
        <v>40</v>
      </c>
      <c r="D4288" s="32" t="s">
        <v>39</v>
      </c>
      <c r="E4288" s="4">
        <f>[1]Source!AT5399</f>
        <v>70</v>
      </c>
      <c r="F4288" s="33"/>
      <c r="G4288" s="34"/>
      <c r="H4288" s="4"/>
      <c r="I4288" s="4"/>
      <c r="J4288" s="33">
        <f>SUM(AC4284:AC4287)</f>
        <v>-5072.59</v>
      </c>
      <c r="K4288" s="33"/>
      <c r="M4288"/>
      <c r="N4288"/>
      <c r="O4288"/>
      <c r="P4288"/>
      <c r="Q4288"/>
    </row>
    <row r="4289" spans="1:33" ht="14.25" x14ac:dyDescent="0.2">
      <c r="A4289" s="31"/>
      <c r="B4289" s="31"/>
      <c r="C4289" s="31" t="s">
        <v>41</v>
      </c>
      <c r="D4289" s="32" t="s">
        <v>39</v>
      </c>
      <c r="E4289" s="4">
        <f>[1]Source!AU5399</f>
        <v>10</v>
      </c>
      <c r="F4289" s="33"/>
      <c r="G4289" s="34"/>
      <c r="H4289" s="4"/>
      <c r="I4289" s="4"/>
      <c r="J4289" s="33">
        <f>SUM(AE4284:AE4288)</f>
        <v>-724.66</v>
      </c>
      <c r="K4289" s="33"/>
      <c r="M4289"/>
      <c r="N4289"/>
      <c r="O4289"/>
      <c r="P4289"/>
      <c r="Q4289"/>
    </row>
    <row r="4290" spans="1:33" ht="14.25" x14ac:dyDescent="0.2">
      <c r="A4290" s="31"/>
      <c r="B4290" s="31"/>
      <c r="C4290" s="31" t="s">
        <v>38</v>
      </c>
      <c r="D4290" s="32" t="s">
        <v>39</v>
      </c>
      <c r="E4290" s="4">
        <f>108</f>
        <v>108</v>
      </c>
      <c r="F4290" s="33"/>
      <c r="G4290" s="34"/>
      <c r="H4290" s="4"/>
      <c r="I4290" s="4"/>
      <c r="J4290" s="33">
        <f>SUM(AG4284:AG4289)</f>
        <v>-12559.92</v>
      </c>
      <c r="K4290" s="33"/>
      <c r="M4290"/>
      <c r="N4290"/>
      <c r="O4290"/>
      <c r="P4290"/>
      <c r="Q4290"/>
    </row>
    <row r="4291" spans="1:33" ht="14.25" x14ac:dyDescent="0.2">
      <c r="A4291" s="31"/>
      <c r="B4291" s="31"/>
      <c r="C4291" s="31" t="s">
        <v>42</v>
      </c>
      <c r="D4291" s="32" t="s">
        <v>43</v>
      </c>
      <c r="E4291" s="4">
        <f>[1]Source!AQ5399</f>
        <v>0.03</v>
      </c>
      <c r="F4291" s="33"/>
      <c r="G4291" s="34" t="str">
        <f>[1]Source!DI5399</f>
        <v>)*4</v>
      </c>
      <c r="H4291" s="4">
        <f>[1]Source!AV5399</f>
        <v>1</v>
      </c>
      <c r="I4291" s="4"/>
      <c r="J4291" s="33"/>
      <c r="K4291" s="33">
        <f>[1]Source!U5399</f>
        <v>-29.22</v>
      </c>
      <c r="M4291"/>
      <c r="N4291"/>
      <c r="O4291"/>
      <c r="P4291"/>
      <c r="Q4291"/>
    </row>
    <row r="4292" spans="1:33" ht="15" x14ac:dyDescent="0.25">
      <c r="A4292" s="35"/>
      <c r="B4292" s="35"/>
      <c r="C4292" s="35"/>
      <c r="D4292" s="35"/>
      <c r="E4292" s="35"/>
      <c r="F4292" s="35"/>
      <c r="G4292" s="35"/>
      <c r="H4292" s="35"/>
      <c r="I4292" s="36">
        <f>J4285+J4286+J4288+J4289+J4290</f>
        <v>-49690.75</v>
      </c>
      <c r="J4292" s="36"/>
      <c r="K4292" s="37">
        <f>IF([1]Source!I5399&lt;&gt;0, ROUND(I4292/[1]Source!I5399, 2), 0)</f>
        <v>204.07</v>
      </c>
      <c r="M4292"/>
      <c r="N4292"/>
      <c r="O4292"/>
      <c r="P4292"/>
      <c r="Q4292"/>
      <c r="AA4292" s="38">
        <f>I4292</f>
        <v>-49690.75</v>
      </c>
    </row>
    <row r="4293" spans="1:33" ht="85.5" x14ac:dyDescent="0.2">
      <c r="A4293" s="31">
        <v>538</v>
      </c>
      <c r="B4293" s="31" t="str">
        <f>[1]Source!F5400</f>
        <v>5.3-1102-25-1/1</v>
      </c>
      <c r="C4293" s="31" t="str">
        <f>[1]Source!G5400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</c>
      <c r="D4293" s="32" t="str">
        <f>[1]Source!H5400</f>
        <v>м3</v>
      </c>
      <c r="E4293" s="4">
        <f>[1]Source!I5400</f>
        <v>243.5</v>
      </c>
      <c r="F4293" s="33"/>
      <c r="G4293" s="34"/>
      <c r="H4293" s="4"/>
      <c r="I4293" s="4"/>
      <c r="J4293" s="33"/>
      <c r="K4293" s="33"/>
      <c r="M4293"/>
      <c r="N4293"/>
      <c r="O4293"/>
      <c r="P4293"/>
      <c r="Q4293"/>
      <c r="AB4293">
        <f>ROUND(([1]Source!BZ5400/100)*ROUND(([1]Source!AF5400*[1]Source!AV5400)*[1]Source!I5400, 2), 2)</f>
        <v>15635.38</v>
      </c>
      <c r="AC4293">
        <f>[1]Source!X5400</f>
        <v>15635.38</v>
      </c>
      <c r="AD4293">
        <f>ROUND(([1]Source!CA5400/100)*ROUND(([1]Source!AF5400*[1]Source!AV5400)*[1]Source!I5400, 2), 2)</f>
        <v>2233.63</v>
      </c>
      <c r="AE4293">
        <f>[1]Source!Y5400</f>
        <v>2233.63</v>
      </c>
      <c r="AF4293">
        <f>ROUND((175/100)*ROUND(([1]Source!AE5400*[1]Source!AV5400)*[1]Source!I5400, 2), 2)</f>
        <v>78645.63</v>
      </c>
      <c r="AG4293">
        <f>ROUND((108/100)*ROUND([1]Source!CS5400*[1]Source!I5400, 2), 2)</f>
        <v>48535.59</v>
      </c>
    </row>
    <row r="4294" spans="1:33" ht="14.25" x14ac:dyDescent="0.2">
      <c r="A4294" s="31"/>
      <c r="B4294" s="31"/>
      <c r="C4294" s="31" t="s">
        <v>34</v>
      </c>
      <c r="D4294" s="32"/>
      <c r="E4294" s="4"/>
      <c r="F4294" s="33">
        <f>[1]Source!AO5400</f>
        <v>91.73</v>
      </c>
      <c r="G4294" s="34" t="str">
        <f>[1]Source!DG5400</f>
        <v>)*1</v>
      </c>
      <c r="H4294" s="4">
        <f>[1]Source!AV5400</f>
        <v>1</v>
      </c>
      <c r="I4294" s="4">
        <f>IF([1]Source!BA5400&lt;&gt; 0, [1]Source!BA5400, 1)</f>
        <v>1</v>
      </c>
      <c r="J4294" s="33">
        <f>[1]Source!S5400</f>
        <v>22336.26</v>
      </c>
      <c r="K4294" s="33"/>
      <c r="M4294"/>
      <c r="N4294"/>
      <c r="O4294"/>
      <c r="P4294"/>
      <c r="Q4294"/>
    </row>
    <row r="4295" spans="1:33" ht="14.25" x14ac:dyDescent="0.2">
      <c r="A4295" s="31"/>
      <c r="B4295" s="31"/>
      <c r="C4295" s="31" t="s">
        <v>33</v>
      </c>
      <c r="D4295" s="32"/>
      <c r="E4295" s="4"/>
      <c r="F4295" s="33">
        <f>[1]Source!AM5400</f>
        <v>382.15</v>
      </c>
      <c r="G4295" s="34" t="str">
        <f>[1]Source!DE5400</f>
        <v>)*1</v>
      </c>
      <c r="H4295" s="4">
        <f>[1]Source!AV5400</f>
        <v>1</v>
      </c>
      <c r="I4295" s="4">
        <f>IF([1]Source!BB5400&lt;&gt; 0, [1]Source!BB5400, 1)</f>
        <v>1</v>
      </c>
      <c r="J4295" s="33">
        <f>[1]Source!Q5400</f>
        <v>93053.53</v>
      </c>
      <c r="K4295" s="33"/>
      <c r="M4295"/>
      <c r="N4295"/>
      <c r="O4295"/>
      <c r="P4295"/>
      <c r="Q4295"/>
    </row>
    <row r="4296" spans="1:33" ht="14.25" x14ac:dyDescent="0.2">
      <c r="A4296" s="31"/>
      <c r="B4296" s="31"/>
      <c r="C4296" s="31" t="s">
        <v>37</v>
      </c>
      <c r="D4296" s="32"/>
      <c r="E4296" s="4"/>
      <c r="F4296" s="33">
        <f>[1]Source!AN5400</f>
        <v>184.56</v>
      </c>
      <c r="G4296" s="34" t="str">
        <f>[1]Source!DF5400</f>
        <v>)*1</v>
      </c>
      <c r="H4296" s="4">
        <f>[1]Source!AV5400</f>
        <v>1</v>
      </c>
      <c r="I4296" s="4">
        <f>IF([1]Source!BS5400&lt;&gt; 0, [1]Source!BS5400, 1)</f>
        <v>1</v>
      </c>
      <c r="J4296" s="41">
        <f>[1]Source!R5400</f>
        <v>44940.36</v>
      </c>
      <c r="K4296" s="33"/>
      <c r="M4296"/>
      <c r="N4296"/>
      <c r="O4296"/>
      <c r="P4296"/>
      <c r="Q4296"/>
    </row>
    <row r="4297" spans="1:33" ht="14.25" x14ac:dyDescent="0.2">
      <c r="A4297" s="31"/>
      <c r="B4297" s="31"/>
      <c r="C4297" s="31" t="s">
        <v>40</v>
      </c>
      <c r="D4297" s="32" t="s">
        <v>39</v>
      </c>
      <c r="E4297" s="4">
        <f>[1]Source!AT5400</f>
        <v>70</v>
      </c>
      <c r="F4297" s="33"/>
      <c r="G4297" s="34"/>
      <c r="H4297" s="4"/>
      <c r="I4297" s="4"/>
      <c r="J4297" s="33">
        <f>SUM(AC4293:AC4296)</f>
        <v>15635.38</v>
      </c>
      <c r="K4297" s="33"/>
      <c r="M4297"/>
      <c r="N4297"/>
      <c r="O4297"/>
      <c r="P4297"/>
      <c r="Q4297"/>
    </row>
    <row r="4298" spans="1:33" ht="14.25" x14ac:dyDescent="0.2">
      <c r="A4298" s="31"/>
      <c r="B4298" s="31"/>
      <c r="C4298" s="31" t="s">
        <v>41</v>
      </c>
      <c r="D4298" s="32" t="s">
        <v>39</v>
      </c>
      <c r="E4298" s="4">
        <f>[1]Source!AU5400</f>
        <v>10</v>
      </c>
      <c r="F4298" s="33"/>
      <c r="G4298" s="34"/>
      <c r="H4298" s="4"/>
      <c r="I4298" s="4"/>
      <c r="J4298" s="33">
        <f>SUM(AE4293:AE4297)</f>
        <v>2233.63</v>
      </c>
      <c r="K4298" s="33"/>
      <c r="M4298"/>
      <c r="N4298"/>
      <c r="O4298"/>
      <c r="P4298"/>
      <c r="Q4298"/>
    </row>
    <row r="4299" spans="1:33" ht="14.25" x14ac:dyDescent="0.2">
      <c r="A4299" s="31"/>
      <c r="B4299" s="31"/>
      <c r="C4299" s="31" t="s">
        <v>38</v>
      </c>
      <c r="D4299" s="32" t="s">
        <v>39</v>
      </c>
      <c r="E4299" s="4">
        <f>108</f>
        <v>108</v>
      </c>
      <c r="F4299" s="33"/>
      <c r="G4299" s="34"/>
      <c r="H4299" s="4"/>
      <c r="I4299" s="4"/>
      <c r="J4299" s="33">
        <f>SUM(AG4293:AG4298)</f>
        <v>48535.59</v>
      </c>
      <c r="K4299" s="33"/>
      <c r="M4299"/>
      <c r="N4299"/>
      <c r="O4299"/>
      <c r="P4299"/>
      <c r="Q4299"/>
    </row>
    <row r="4300" spans="1:33" ht="14.25" x14ac:dyDescent="0.2">
      <c r="A4300" s="31"/>
      <c r="B4300" s="31"/>
      <c r="C4300" s="31" t="s">
        <v>42</v>
      </c>
      <c r="D4300" s="32" t="s">
        <v>43</v>
      </c>
      <c r="E4300" s="4">
        <f>[1]Source!AQ5400</f>
        <v>0.37</v>
      </c>
      <c r="F4300" s="33"/>
      <c r="G4300" s="34" t="str">
        <f>[1]Source!DI5400</f>
        <v>)*1</v>
      </c>
      <c r="H4300" s="4">
        <f>[1]Source!AV5400</f>
        <v>1</v>
      </c>
      <c r="I4300" s="4"/>
      <c r="J4300" s="33"/>
      <c r="K4300" s="33">
        <f>[1]Source!U5400</f>
        <v>90.094999999999999</v>
      </c>
      <c r="M4300"/>
      <c r="N4300"/>
      <c r="O4300"/>
      <c r="P4300"/>
      <c r="Q4300"/>
    </row>
    <row r="4301" spans="1:33" ht="15" x14ac:dyDescent="0.25">
      <c r="A4301" s="35"/>
      <c r="B4301" s="35"/>
      <c r="C4301" s="35"/>
      <c r="D4301" s="35"/>
      <c r="E4301" s="35"/>
      <c r="F4301" s="35"/>
      <c r="G4301" s="35"/>
      <c r="H4301" s="35"/>
      <c r="I4301" s="36">
        <f>J4294+J4295+J4297+J4298+J4299</f>
        <v>181794.38999999998</v>
      </c>
      <c r="J4301" s="36"/>
      <c r="K4301" s="37">
        <f>IF([1]Source!I5400&lt;&gt;0, ROUND(I4301/[1]Source!I5400, 2), 0)</f>
        <v>746.59</v>
      </c>
      <c r="M4301"/>
      <c r="N4301"/>
      <c r="O4301"/>
      <c r="P4301"/>
      <c r="Q4301"/>
      <c r="AA4301" s="38">
        <f>I4301</f>
        <v>181794.38999999998</v>
      </c>
    </row>
    <row r="4302" spans="1:33" ht="85.5" x14ac:dyDescent="0.2">
      <c r="A4302" s="31">
        <v>539</v>
      </c>
      <c r="B4302" s="31" t="str">
        <f>[1]Source!F5401</f>
        <v>5.3-1102-25-2/1</v>
      </c>
      <c r="C4302" s="31" t="str">
        <f>[1]Source!G5401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302" s="32" t="str">
        <f>[1]Source!H5401</f>
        <v>м3</v>
      </c>
      <c r="E4302" s="4">
        <f>[1]Source!I5401</f>
        <v>-243.5</v>
      </c>
      <c r="F4302" s="33"/>
      <c r="G4302" s="34"/>
      <c r="H4302" s="4"/>
      <c r="I4302" s="4"/>
      <c r="J4302" s="33"/>
      <c r="K4302" s="33"/>
      <c r="M4302"/>
      <c r="N4302"/>
      <c r="O4302"/>
      <c r="P4302"/>
      <c r="Q4302"/>
      <c r="AB4302">
        <f>ROUND(([1]Source!BZ5401/100)*ROUND(([1]Source!AF5401*[1]Source!AV5401)*[1]Source!I5401, 2), 2)</f>
        <v>-3804.44</v>
      </c>
      <c r="AC4302">
        <f>[1]Source!X5401</f>
        <v>-3804.44</v>
      </c>
      <c r="AD4302">
        <f>ROUND(([1]Source!CA5401/100)*ROUND(([1]Source!AF5401*[1]Source!AV5401)*[1]Source!I5401, 2), 2)</f>
        <v>-543.49</v>
      </c>
      <c r="AE4302">
        <f>[1]Source!Y5401</f>
        <v>-543.49</v>
      </c>
      <c r="AF4302">
        <f>ROUND((175/100)*ROUND(([1]Source!AE5401*[1]Source!AV5401)*[1]Source!I5401, 2), 2)</f>
        <v>-15263.8</v>
      </c>
      <c r="AG4302">
        <f>ROUND((108/100)*ROUND([1]Source!CS5401*[1]Source!I5401, 2), 2)</f>
        <v>-9419.94</v>
      </c>
    </row>
    <row r="4303" spans="1:33" ht="14.25" x14ac:dyDescent="0.2">
      <c r="A4303" s="31"/>
      <c r="B4303" s="31"/>
      <c r="C4303" s="31" t="s">
        <v>34</v>
      </c>
      <c r="D4303" s="32"/>
      <c r="E4303" s="4"/>
      <c r="F4303" s="33">
        <f>[1]Source!AO5401</f>
        <v>7.44</v>
      </c>
      <c r="G4303" s="34" t="str">
        <f>[1]Source!DG5401</f>
        <v>)*3</v>
      </c>
      <c r="H4303" s="4">
        <f>[1]Source!AV5401</f>
        <v>1</v>
      </c>
      <c r="I4303" s="4">
        <f>IF([1]Source!BA5401&lt;&gt; 0, [1]Source!BA5401, 1)</f>
        <v>1</v>
      </c>
      <c r="J4303" s="33">
        <f>[1]Source!S5401</f>
        <v>-5434.92</v>
      </c>
      <c r="K4303" s="33"/>
      <c r="M4303"/>
      <c r="N4303"/>
      <c r="O4303"/>
      <c r="P4303"/>
      <c r="Q4303"/>
    </row>
    <row r="4304" spans="1:33" ht="14.25" x14ac:dyDescent="0.2">
      <c r="A4304" s="31"/>
      <c r="B4304" s="31"/>
      <c r="C4304" s="31" t="s">
        <v>33</v>
      </c>
      <c r="D4304" s="32"/>
      <c r="E4304" s="4"/>
      <c r="F4304" s="33">
        <f>[1]Source!AM5401</f>
        <v>24.73</v>
      </c>
      <c r="G4304" s="34" t="str">
        <f>[1]Source!DE5401</f>
        <v>)*3</v>
      </c>
      <c r="H4304" s="4">
        <f>[1]Source!AV5401</f>
        <v>1</v>
      </c>
      <c r="I4304" s="4">
        <f>IF([1]Source!BB5401&lt;&gt; 0, [1]Source!BB5401, 1)</f>
        <v>1</v>
      </c>
      <c r="J4304" s="33">
        <f>[1]Source!Q5401</f>
        <v>-18065.27</v>
      </c>
      <c r="K4304" s="33"/>
      <c r="M4304"/>
      <c r="N4304"/>
      <c r="O4304"/>
      <c r="P4304"/>
      <c r="Q4304"/>
    </row>
    <row r="4305" spans="1:33" ht="14.25" x14ac:dyDescent="0.2">
      <c r="A4305" s="31"/>
      <c r="B4305" s="31"/>
      <c r="C4305" s="31" t="s">
        <v>37</v>
      </c>
      <c r="D4305" s="32"/>
      <c r="E4305" s="4"/>
      <c r="F4305" s="33">
        <f>[1]Source!AN5401</f>
        <v>11.94</v>
      </c>
      <c r="G4305" s="34" t="str">
        <f>[1]Source!DF5401</f>
        <v>)*3</v>
      </c>
      <c r="H4305" s="4">
        <f>[1]Source!AV5401</f>
        <v>1</v>
      </c>
      <c r="I4305" s="4">
        <f>IF([1]Source!BS5401&lt;&gt; 0, [1]Source!BS5401, 1)</f>
        <v>1</v>
      </c>
      <c r="J4305" s="41">
        <f>[1]Source!R5401</f>
        <v>-8722.17</v>
      </c>
      <c r="K4305" s="33"/>
      <c r="M4305"/>
      <c r="N4305"/>
      <c r="O4305"/>
      <c r="P4305"/>
      <c r="Q4305"/>
    </row>
    <row r="4306" spans="1:33" ht="14.25" x14ac:dyDescent="0.2">
      <c r="A4306" s="31"/>
      <c r="B4306" s="31"/>
      <c r="C4306" s="31" t="s">
        <v>40</v>
      </c>
      <c r="D4306" s="32" t="s">
        <v>39</v>
      </c>
      <c r="E4306" s="4">
        <f>[1]Source!AT5401</f>
        <v>70</v>
      </c>
      <c r="F4306" s="33"/>
      <c r="G4306" s="34"/>
      <c r="H4306" s="4"/>
      <c r="I4306" s="4"/>
      <c r="J4306" s="33">
        <f>SUM(AC4302:AC4305)</f>
        <v>-3804.44</v>
      </c>
      <c r="K4306" s="33"/>
      <c r="M4306"/>
      <c r="N4306"/>
      <c r="O4306"/>
      <c r="P4306"/>
      <c r="Q4306"/>
    </row>
    <row r="4307" spans="1:33" ht="14.25" x14ac:dyDescent="0.2">
      <c r="A4307" s="31"/>
      <c r="B4307" s="31"/>
      <c r="C4307" s="31" t="s">
        <v>41</v>
      </c>
      <c r="D4307" s="32" t="s">
        <v>39</v>
      </c>
      <c r="E4307" s="4">
        <f>[1]Source!AU5401</f>
        <v>10</v>
      </c>
      <c r="F4307" s="33"/>
      <c r="G4307" s="34"/>
      <c r="H4307" s="4"/>
      <c r="I4307" s="4"/>
      <c r="J4307" s="33">
        <f>SUM(AE4302:AE4306)</f>
        <v>-543.49</v>
      </c>
      <c r="K4307" s="33"/>
      <c r="M4307"/>
      <c r="N4307"/>
      <c r="O4307"/>
      <c r="P4307"/>
      <c r="Q4307"/>
    </row>
    <row r="4308" spans="1:33" ht="14.25" x14ac:dyDescent="0.2">
      <c r="A4308" s="31"/>
      <c r="B4308" s="31"/>
      <c r="C4308" s="31" t="s">
        <v>38</v>
      </c>
      <c r="D4308" s="32" t="s">
        <v>39</v>
      </c>
      <c r="E4308" s="4">
        <f>108</f>
        <v>108</v>
      </c>
      <c r="F4308" s="33"/>
      <c r="G4308" s="34"/>
      <c r="H4308" s="4"/>
      <c r="I4308" s="4"/>
      <c r="J4308" s="33">
        <f>SUM(AG4302:AG4307)</f>
        <v>-9419.94</v>
      </c>
      <c r="K4308" s="33"/>
      <c r="M4308"/>
      <c r="N4308"/>
      <c r="O4308"/>
      <c r="P4308"/>
      <c r="Q4308"/>
    </row>
    <row r="4309" spans="1:33" ht="14.25" x14ac:dyDescent="0.2">
      <c r="A4309" s="31"/>
      <c r="B4309" s="31"/>
      <c r="C4309" s="31" t="s">
        <v>42</v>
      </c>
      <c r="D4309" s="32" t="s">
        <v>43</v>
      </c>
      <c r="E4309" s="4">
        <f>[1]Source!AQ5401</f>
        <v>0.03</v>
      </c>
      <c r="F4309" s="33"/>
      <c r="G4309" s="34" t="str">
        <f>[1]Source!DI5401</f>
        <v>)*3</v>
      </c>
      <c r="H4309" s="4">
        <f>[1]Source!AV5401</f>
        <v>1</v>
      </c>
      <c r="I4309" s="4"/>
      <c r="J4309" s="33"/>
      <c r="K4309" s="33">
        <f>[1]Source!U5401</f>
        <v>-21.914999999999999</v>
      </c>
      <c r="M4309"/>
      <c r="N4309"/>
      <c r="O4309"/>
      <c r="P4309"/>
      <c r="Q4309"/>
    </row>
    <row r="4310" spans="1:33" ht="15" x14ac:dyDescent="0.25">
      <c r="A4310" s="35"/>
      <c r="B4310" s="35"/>
      <c r="C4310" s="35"/>
      <c r="D4310" s="35"/>
      <c r="E4310" s="35"/>
      <c r="F4310" s="35"/>
      <c r="G4310" s="35"/>
      <c r="H4310" s="35"/>
      <c r="I4310" s="36">
        <f>J4303+J4304+J4306+J4307+J4308</f>
        <v>-37268.060000000005</v>
      </c>
      <c r="J4310" s="36"/>
      <c r="K4310" s="37">
        <f>IF([1]Source!I5401&lt;&gt;0, ROUND(I4310/[1]Source!I5401, 2), 0)</f>
        <v>153.05000000000001</v>
      </c>
      <c r="M4310"/>
      <c r="N4310"/>
      <c r="O4310"/>
      <c r="P4310"/>
      <c r="Q4310"/>
      <c r="AA4310" s="38">
        <f>I4310</f>
        <v>-37268.060000000005</v>
      </c>
    </row>
    <row r="4311" spans="1:33" ht="85.5" x14ac:dyDescent="0.2">
      <c r="A4311" s="31">
        <v>540</v>
      </c>
      <c r="B4311" s="31" t="str">
        <f>[1]Source!F5402</f>
        <v>5.3-1102-25-1/1</v>
      </c>
      <c r="C4311" s="31" t="str">
        <f>[1]Source!G5402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</c>
      <c r="D4311" s="32" t="str">
        <f>[1]Source!H5402</f>
        <v>м3</v>
      </c>
      <c r="E4311" s="4">
        <f>[1]Source!I5402</f>
        <v>243.5</v>
      </c>
      <c r="F4311" s="33"/>
      <c r="G4311" s="34"/>
      <c r="H4311" s="4"/>
      <c r="I4311" s="4"/>
      <c r="J4311" s="33"/>
      <c r="K4311" s="33"/>
      <c r="M4311"/>
      <c r="N4311"/>
      <c r="O4311"/>
      <c r="P4311"/>
      <c r="Q4311"/>
      <c r="AB4311">
        <f>ROUND(([1]Source!BZ5402/100)*ROUND(([1]Source!AF5402*[1]Source!AV5402)*[1]Source!I5402, 2), 2)</f>
        <v>15635.38</v>
      </c>
      <c r="AC4311">
        <f>[1]Source!X5402</f>
        <v>15635.38</v>
      </c>
      <c r="AD4311">
        <f>ROUND(([1]Source!CA5402/100)*ROUND(([1]Source!AF5402*[1]Source!AV5402)*[1]Source!I5402, 2), 2)</f>
        <v>2233.63</v>
      </c>
      <c r="AE4311">
        <f>[1]Source!Y5402</f>
        <v>2233.63</v>
      </c>
      <c r="AF4311">
        <f>ROUND((175/100)*ROUND(([1]Source!AE5402*[1]Source!AV5402)*[1]Source!I5402, 2), 2)</f>
        <v>78645.63</v>
      </c>
      <c r="AG4311">
        <f>ROUND((108/100)*ROUND([1]Source!CS5402*[1]Source!I5402, 2), 2)</f>
        <v>48535.59</v>
      </c>
    </row>
    <row r="4312" spans="1:33" ht="14.25" x14ac:dyDescent="0.2">
      <c r="A4312" s="31"/>
      <c r="B4312" s="31"/>
      <c r="C4312" s="31" t="s">
        <v>34</v>
      </c>
      <c r="D4312" s="32"/>
      <c r="E4312" s="4"/>
      <c r="F4312" s="33">
        <f>[1]Source!AO5402</f>
        <v>91.73</v>
      </c>
      <c r="G4312" s="34" t="str">
        <f>[1]Source!DG5402</f>
        <v>)*1</v>
      </c>
      <c r="H4312" s="4">
        <f>[1]Source!AV5402</f>
        <v>1</v>
      </c>
      <c r="I4312" s="4">
        <f>IF([1]Source!BA5402&lt;&gt; 0, [1]Source!BA5402, 1)</f>
        <v>1</v>
      </c>
      <c r="J4312" s="33">
        <f>[1]Source!S5402</f>
        <v>22336.26</v>
      </c>
      <c r="K4312" s="33"/>
      <c r="M4312"/>
      <c r="N4312"/>
      <c r="O4312"/>
      <c r="P4312"/>
      <c r="Q4312"/>
    </row>
    <row r="4313" spans="1:33" ht="14.25" x14ac:dyDescent="0.2">
      <c r="A4313" s="31"/>
      <c r="B4313" s="31"/>
      <c r="C4313" s="31" t="s">
        <v>33</v>
      </c>
      <c r="D4313" s="32"/>
      <c r="E4313" s="4"/>
      <c r="F4313" s="33">
        <f>[1]Source!AM5402</f>
        <v>382.15</v>
      </c>
      <c r="G4313" s="34" t="str">
        <f>[1]Source!DE5402</f>
        <v>)*1</v>
      </c>
      <c r="H4313" s="4">
        <f>[1]Source!AV5402</f>
        <v>1</v>
      </c>
      <c r="I4313" s="4">
        <f>IF([1]Source!BB5402&lt;&gt; 0, [1]Source!BB5402, 1)</f>
        <v>1</v>
      </c>
      <c r="J4313" s="33">
        <f>[1]Source!Q5402</f>
        <v>93053.53</v>
      </c>
      <c r="K4313" s="33"/>
      <c r="M4313"/>
      <c r="N4313"/>
      <c r="O4313"/>
      <c r="P4313"/>
      <c r="Q4313"/>
    </row>
    <row r="4314" spans="1:33" ht="14.25" x14ac:dyDescent="0.2">
      <c r="A4314" s="31"/>
      <c r="B4314" s="31"/>
      <c r="C4314" s="31" t="s">
        <v>37</v>
      </c>
      <c r="D4314" s="32"/>
      <c r="E4314" s="4"/>
      <c r="F4314" s="33">
        <f>[1]Source!AN5402</f>
        <v>184.56</v>
      </c>
      <c r="G4314" s="34" t="str">
        <f>[1]Source!DF5402</f>
        <v>)*1</v>
      </c>
      <c r="H4314" s="4">
        <f>[1]Source!AV5402</f>
        <v>1</v>
      </c>
      <c r="I4314" s="4">
        <f>IF([1]Source!BS5402&lt;&gt; 0, [1]Source!BS5402, 1)</f>
        <v>1</v>
      </c>
      <c r="J4314" s="41">
        <f>[1]Source!R5402</f>
        <v>44940.36</v>
      </c>
      <c r="K4314" s="33"/>
      <c r="M4314"/>
      <c r="N4314"/>
      <c r="O4314"/>
      <c r="P4314"/>
      <c r="Q4314"/>
    </row>
    <row r="4315" spans="1:33" ht="14.25" x14ac:dyDescent="0.2">
      <c r="A4315" s="31"/>
      <c r="B4315" s="31"/>
      <c r="C4315" s="31" t="s">
        <v>40</v>
      </c>
      <c r="D4315" s="32" t="s">
        <v>39</v>
      </c>
      <c r="E4315" s="4">
        <f>[1]Source!AT5402</f>
        <v>70</v>
      </c>
      <c r="F4315" s="33"/>
      <c r="G4315" s="34"/>
      <c r="H4315" s="4"/>
      <c r="I4315" s="4"/>
      <c r="J4315" s="33">
        <f>SUM(AC4311:AC4314)</f>
        <v>15635.38</v>
      </c>
      <c r="K4315" s="33"/>
      <c r="M4315"/>
      <c r="N4315"/>
      <c r="O4315"/>
      <c r="P4315"/>
      <c r="Q4315"/>
    </row>
    <row r="4316" spans="1:33" ht="14.25" x14ac:dyDescent="0.2">
      <c r="A4316" s="31"/>
      <c r="B4316" s="31"/>
      <c r="C4316" s="31" t="s">
        <v>41</v>
      </c>
      <c r="D4316" s="32" t="s">
        <v>39</v>
      </c>
      <c r="E4316" s="4">
        <f>[1]Source!AU5402</f>
        <v>10</v>
      </c>
      <c r="F4316" s="33"/>
      <c r="G4316" s="34"/>
      <c r="H4316" s="4"/>
      <c r="I4316" s="4"/>
      <c r="J4316" s="33">
        <f>SUM(AE4311:AE4315)</f>
        <v>2233.63</v>
      </c>
      <c r="K4316" s="33"/>
      <c r="M4316"/>
      <c r="N4316"/>
      <c r="O4316"/>
      <c r="P4316"/>
      <c r="Q4316"/>
    </row>
    <row r="4317" spans="1:33" ht="14.25" x14ac:dyDescent="0.2">
      <c r="A4317" s="31"/>
      <c r="B4317" s="31"/>
      <c r="C4317" s="31" t="s">
        <v>38</v>
      </c>
      <c r="D4317" s="32" t="s">
        <v>39</v>
      </c>
      <c r="E4317" s="4">
        <f>108</f>
        <v>108</v>
      </c>
      <c r="F4317" s="33"/>
      <c r="G4317" s="34"/>
      <c r="H4317" s="4"/>
      <c r="I4317" s="4"/>
      <c r="J4317" s="33">
        <f>SUM(AG4311:AG4316)</f>
        <v>48535.59</v>
      </c>
      <c r="K4317" s="33"/>
      <c r="M4317"/>
      <c r="N4317"/>
      <c r="O4317"/>
      <c r="P4317"/>
      <c r="Q4317"/>
    </row>
    <row r="4318" spans="1:33" ht="14.25" x14ac:dyDescent="0.2">
      <c r="A4318" s="31"/>
      <c r="B4318" s="31"/>
      <c r="C4318" s="31" t="s">
        <v>42</v>
      </c>
      <c r="D4318" s="32" t="s">
        <v>43</v>
      </c>
      <c r="E4318" s="4">
        <f>[1]Source!AQ5402</f>
        <v>0.37</v>
      </c>
      <c r="F4318" s="33"/>
      <c r="G4318" s="34" t="str">
        <f>[1]Source!DI5402</f>
        <v>)*1</v>
      </c>
      <c r="H4318" s="4">
        <f>[1]Source!AV5402</f>
        <v>1</v>
      </c>
      <c r="I4318" s="4"/>
      <c r="J4318" s="33"/>
      <c r="K4318" s="33">
        <f>[1]Source!U5402</f>
        <v>90.094999999999999</v>
      </c>
      <c r="M4318"/>
      <c r="N4318"/>
      <c r="O4318"/>
      <c r="P4318"/>
      <c r="Q4318"/>
    </row>
    <row r="4319" spans="1:33" ht="15" x14ac:dyDescent="0.25">
      <c r="A4319" s="35"/>
      <c r="B4319" s="35"/>
      <c r="C4319" s="35"/>
      <c r="D4319" s="35"/>
      <c r="E4319" s="35"/>
      <c r="F4319" s="35"/>
      <c r="G4319" s="35"/>
      <c r="H4319" s="35"/>
      <c r="I4319" s="36">
        <f>J4312+J4313+J4315+J4316+J4317</f>
        <v>181794.38999999998</v>
      </c>
      <c r="J4319" s="36"/>
      <c r="K4319" s="37">
        <f>IF([1]Source!I5402&lt;&gt;0, ROUND(I4319/[1]Source!I5402, 2), 0)</f>
        <v>746.59</v>
      </c>
      <c r="M4319"/>
      <c r="N4319"/>
      <c r="O4319"/>
      <c r="P4319"/>
      <c r="Q4319"/>
      <c r="AA4319" s="38">
        <f>I4319</f>
        <v>181794.38999999998</v>
      </c>
    </row>
    <row r="4320" spans="1:33" ht="85.5" x14ac:dyDescent="0.2">
      <c r="A4320" s="31">
        <v>541</v>
      </c>
      <c r="B4320" s="31" t="str">
        <f>[1]Source!F5403</f>
        <v>5.3-1102-25-2/1</v>
      </c>
      <c r="C4320" s="31" t="str">
        <f>[1]Source!G5403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320" s="32" t="str">
        <f>[1]Source!H5403</f>
        <v>м3</v>
      </c>
      <c r="E4320" s="4">
        <f>[1]Source!I5403</f>
        <v>-243.5</v>
      </c>
      <c r="F4320" s="33"/>
      <c r="G4320" s="34"/>
      <c r="H4320" s="4"/>
      <c r="I4320" s="4"/>
      <c r="J4320" s="33"/>
      <c r="K4320" s="33"/>
      <c r="M4320"/>
      <c r="N4320"/>
      <c r="O4320"/>
      <c r="P4320"/>
      <c r="Q4320"/>
      <c r="AB4320">
        <f>ROUND(([1]Source!BZ5403/100)*ROUND(([1]Source!AF5403*[1]Source!AV5403)*[1]Source!I5403, 2), 2)</f>
        <v>-2536.3000000000002</v>
      </c>
      <c r="AC4320">
        <f>[1]Source!X5403</f>
        <v>-2536.3000000000002</v>
      </c>
      <c r="AD4320">
        <f>ROUND(([1]Source!CA5403/100)*ROUND(([1]Source!AF5403*[1]Source!AV5403)*[1]Source!I5403, 2), 2)</f>
        <v>-362.33</v>
      </c>
      <c r="AE4320">
        <f>[1]Source!Y5403</f>
        <v>-362.33</v>
      </c>
      <c r="AF4320">
        <f>ROUND((175/100)*ROUND(([1]Source!AE5403*[1]Source!AV5403)*[1]Source!I5403, 2), 2)</f>
        <v>-10175.870000000001</v>
      </c>
      <c r="AG4320">
        <f>ROUND((108/100)*ROUND([1]Source!CS5403*[1]Source!I5403, 2), 2)</f>
        <v>-6279.96</v>
      </c>
    </row>
    <row r="4321" spans="1:33" ht="14.25" x14ac:dyDescent="0.2">
      <c r="A4321" s="31"/>
      <c r="B4321" s="31"/>
      <c r="C4321" s="31" t="s">
        <v>34</v>
      </c>
      <c r="D4321" s="32"/>
      <c r="E4321" s="4"/>
      <c r="F4321" s="33">
        <f>[1]Source!AO5403</f>
        <v>7.44</v>
      </c>
      <c r="G4321" s="34" t="str">
        <f>[1]Source!DG5403</f>
        <v>)*2</v>
      </c>
      <c r="H4321" s="4">
        <f>[1]Source!AV5403</f>
        <v>1</v>
      </c>
      <c r="I4321" s="4">
        <f>IF([1]Source!BA5403&lt;&gt; 0, [1]Source!BA5403, 1)</f>
        <v>1</v>
      </c>
      <c r="J4321" s="33">
        <f>[1]Source!S5403</f>
        <v>-3623.28</v>
      </c>
      <c r="K4321" s="33"/>
      <c r="M4321"/>
      <c r="N4321"/>
      <c r="O4321"/>
      <c r="P4321"/>
      <c r="Q4321"/>
    </row>
    <row r="4322" spans="1:33" ht="14.25" x14ac:dyDescent="0.2">
      <c r="A4322" s="31"/>
      <c r="B4322" s="31"/>
      <c r="C4322" s="31" t="s">
        <v>33</v>
      </c>
      <c r="D4322" s="32"/>
      <c r="E4322" s="4"/>
      <c r="F4322" s="33">
        <f>[1]Source!AM5403</f>
        <v>24.73</v>
      </c>
      <c r="G4322" s="34" t="str">
        <f>[1]Source!DE5403</f>
        <v>)*2</v>
      </c>
      <c r="H4322" s="4">
        <f>[1]Source!AV5403</f>
        <v>1</v>
      </c>
      <c r="I4322" s="4">
        <f>IF([1]Source!BB5403&lt;&gt; 0, [1]Source!BB5403, 1)</f>
        <v>1</v>
      </c>
      <c r="J4322" s="33">
        <f>[1]Source!Q5403</f>
        <v>-12043.51</v>
      </c>
      <c r="K4322" s="33"/>
      <c r="M4322"/>
      <c r="N4322"/>
      <c r="O4322"/>
      <c r="P4322"/>
      <c r="Q4322"/>
    </row>
    <row r="4323" spans="1:33" ht="14.25" x14ac:dyDescent="0.2">
      <c r="A4323" s="31"/>
      <c r="B4323" s="31"/>
      <c r="C4323" s="31" t="s">
        <v>37</v>
      </c>
      <c r="D4323" s="32"/>
      <c r="E4323" s="4"/>
      <c r="F4323" s="33">
        <f>[1]Source!AN5403</f>
        <v>11.94</v>
      </c>
      <c r="G4323" s="34" t="str">
        <f>[1]Source!DF5403</f>
        <v>)*2</v>
      </c>
      <c r="H4323" s="4">
        <f>[1]Source!AV5403</f>
        <v>1</v>
      </c>
      <c r="I4323" s="4">
        <f>IF([1]Source!BS5403&lt;&gt; 0, [1]Source!BS5403, 1)</f>
        <v>1</v>
      </c>
      <c r="J4323" s="41">
        <f>[1]Source!R5403</f>
        <v>-5814.78</v>
      </c>
      <c r="K4323" s="33"/>
      <c r="M4323"/>
      <c r="N4323"/>
      <c r="O4323"/>
      <c r="P4323"/>
      <c r="Q4323"/>
    </row>
    <row r="4324" spans="1:33" ht="14.25" x14ac:dyDescent="0.2">
      <c r="A4324" s="31"/>
      <c r="B4324" s="31"/>
      <c r="C4324" s="31" t="s">
        <v>40</v>
      </c>
      <c r="D4324" s="32" t="s">
        <v>39</v>
      </c>
      <c r="E4324" s="4">
        <f>[1]Source!AT5403</f>
        <v>70</v>
      </c>
      <c r="F4324" s="33"/>
      <c r="G4324" s="34"/>
      <c r="H4324" s="4"/>
      <c r="I4324" s="4"/>
      <c r="J4324" s="33">
        <f>SUM(AC4320:AC4323)</f>
        <v>-2536.3000000000002</v>
      </c>
      <c r="K4324" s="33"/>
      <c r="M4324"/>
      <c r="N4324"/>
      <c r="O4324"/>
      <c r="P4324"/>
      <c r="Q4324"/>
    </row>
    <row r="4325" spans="1:33" ht="14.25" x14ac:dyDescent="0.2">
      <c r="A4325" s="31"/>
      <c r="B4325" s="31"/>
      <c r="C4325" s="31" t="s">
        <v>41</v>
      </c>
      <c r="D4325" s="32" t="s">
        <v>39</v>
      </c>
      <c r="E4325" s="4">
        <f>[1]Source!AU5403</f>
        <v>10</v>
      </c>
      <c r="F4325" s="33"/>
      <c r="G4325" s="34"/>
      <c r="H4325" s="4"/>
      <c r="I4325" s="4"/>
      <c r="J4325" s="33">
        <f>SUM(AE4320:AE4324)</f>
        <v>-362.33</v>
      </c>
      <c r="K4325" s="33"/>
      <c r="M4325"/>
      <c r="N4325"/>
      <c r="O4325"/>
      <c r="P4325"/>
      <c r="Q4325"/>
    </row>
    <row r="4326" spans="1:33" ht="14.25" x14ac:dyDescent="0.2">
      <c r="A4326" s="31"/>
      <c r="B4326" s="31"/>
      <c r="C4326" s="31" t="s">
        <v>38</v>
      </c>
      <c r="D4326" s="32" t="s">
        <v>39</v>
      </c>
      <c r="E4326" s="4">
        <f>108</f>
        <v>108</v>
      </c>
      <c r="F4326" s="33"/>
      <c r="G4326" s="34"/>
      <c r="H4326" s="4"/>
      <c r="I4326" s="4"/>
      <c r="J4326" s="33">
        <f>SUM(AG4320:AG4325)</f>
        <v>-6279.96</v>
      </c>
      <c r="K4326" s="33"/>
      <c r="M4326"/>
      <c r="N4326"/>
      <c r="O4326"/>
      <c r="P4326"/>
      <c r="Q4326"/>
    </row>
    <row r="4327" spans="1:33" ht="14.25" x14ac:dyDescent="0.2">
      <c r="A4327" s="31"/>
      <c r="B4327" s="31"/>
      <c r="C4327" s="31" t="s">
        <v>42</v>
      </c>
      <c r="D4327" s="32" t="s">
        <v>43</v>
      </c>
      <c r="E4327" s="4">
        <f>[1]Source!AQ5403</f>
        <v>0.03</v>
      </c>
      <c r="F4327" s="33"/>
      <c r="G4327" s="34" t="str">
        <f>[1]Source!DI5403</f>
        <v>)*2</v>
      </c>
      <c r="H4327" s="4">
        <f>[1]Source!AV5403</f>
        <v>1</v>
      </c>
      <c r="I4327" s="4"/>
      <c r="J4327" s="33"/>
      <c r="K4327" s="33">
        <f>[1]Source!U5403</f>
        <v>-14.61</v>
      </c>
      <c r="M4327"/>
      <c r="N4327"/>
      <c r="O4327"/>
      <c r="P4327"/>
      <c r="Q4327"/>
    </row>
    <row r="4328" spans="1:33" ht="15" x14ac:dyDescent="0.25">
      <c r="A4328" s="35"/>
      <c r="B4328" s="35"/>
      <c r="C4328" s="35"/>
      <c r="D4328" s="35"/>
      <c r="E4328" s="35"/>
      <c r="F4328" s="35"/>
      <c r="G4328" s="35"/>
      <c r="H4328" s="35"/>
      <c r="I4328" s="36">
        <f>J4321+J4322+J4324+J4325+J4326</f>
        <v>-24845.38</v>
      </c>
      <c r="J4328" s="36"/>
      <c r="K4328" s="37">
        <f>IF([1]Source!I5403&lt;&gt;0, ROUND(I4328/[1]Source!I5403, 2), 0)</f>
        <v>102.03</v>
      </c>
      <c r="M4328"/>
      <c r="N4328"/>
      <c r="O4328"/>
      <c r="P4328"/>
      <c r="Q4328"/>
      <c r="AA4328" s="38">
        <f>I4328</f>
        <v>-24845.38</v>
      </c>
    </row>
    <row r="4329" spans="1:33" ht="85.5" x14ac:dyDescent="0.2">
      <c r="A4329" s="31">
        <v>542</v>
      </c>
      <c r="B4329" s="31" t="str">
        <f>[1]Source!F5404</f>
        <v>5.3-1102-25-1/1</v>
      </c>
      <c r="C4329" s="31" t="str">
        <f>[1]Source!G5404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</c>
      <c r="D4329" s="32" t="str">
        <f>[1]Source!H5404</f>
        <v>м3</v>
      </c>
      <c r="E4329" s="4">
        <f>[1]Source!I5404</f>
        <v>243.5</v>
      </c>
      <c r="F4329" s="33"/>
      <c r="G4329" s="34"/>
      <c r="H4329" s="4"/>
      <c r="I4329" s="4"/>
      <c r="J4329" s="33"/>
      <c r="K4329" s="33"/>
      <c r="M4329"/>
      <c r="N4329"/>
      <c r="O4329"/>
      <c r="P4329"/>
      <c r="Q4329"/>
      <c r="AB4329">
        <f>ROUND(([1]Source!BZ5404/100)*ROUND(([1]Source!AF5404*[1]Source!AV5404)*[1]Source!I5404, 2), 2)</f>
        <v>15635.38</v>
      </c>
      <c r="AC4329">
        <f>[1]Source!X5404</f>
        <v>15635.38</v>
      </c>
      <c r="AD4329">
        <f>ROUND(([1]Source!CA5404/100)*ROUND(([1]Source!AF5404*[1]Source!AV5404)*[1]Source!I5404, 2), 2)</f>
        <v>2233.63</v>
      </c>
      <c r="AE4329">
        <f>[1]Source!Y5404</f>
        <v>2233.63</v>
      </c>
      <c r="AF4329">
        <f>ROUND((175/100)*ROUND(([1]Source!AE5404*[1]Source!AV5404)*[1]Source!I5404, 2), 2)</f>
        <v>78645.63</v>
      </c>
      <c r="AG4329">
        <f>ROUND((108/100)*ROUND([1]Source!CS5404*[1]Source!I5404, 2), 2)</f>
        <v>48535.59</v>
      </c>
    </row>
    <row r="4330" spans="1:33" ht="14.25" x14ac:dyDescent="0.2">
      <c r="A4330" s="31"/>
      <c r="B4330" s="31"/>
      <c r="C4330" s="31" t="s">
        <v>34</v>
      </c>
      <c r="D4330" s="32"/>
      <c r="E4330" s="4"/>
      <c r="F4330" s="33">
        <f>[1]Source!AO5404</f>
        <v>91.73</v>
      </c>
      <c r="G4330" s="34" t="str">
        <f>[1]Source!DG5404</f>
        <v>)*1</v>
      </c>
      <c r="H4330" s="4">
        <f>[1]Source!AV5404</f>
        <v>1</v>
      </c>
      <c r="I4330" s="4">
        <f>IF([1]Source!BA5404&lt;&gt; 0, [1]Source!BA5404, 1)</f>
        <v>1</v>
      </c>
      <c r="J4330" s="33">
        <f>[1]Source!S5404</f>
        <v>22336.26</v>
      </c>
      <c r="K4330" s="33"/>
      <c r="M4330"/>
      <c r="N4330"/>
      <c r="O4330"/>
      <c r="P4330"/>
      <c r="Q4330"/>
    </row>
    <row r="4331" spans="1:33" ht="14.25" x14ac:dyDescent="0.2">
      <c r="A4331" s="31"/>
      <c r="B4331" s="31"/>
      <c r="C4331" s="31" t="s">
        <v>33</v>
      </c>
      <c r="D4331" s="32"/>
      <c r="E4331" s="4"/>
      <c r="F4331" s="33">
        <f>[1]Source!AM5404</f>
        <v>382.15</v>
      </c>
      <c r="G4331" s="34" t="str">
        <f>[1]Source!DE5404</f>
        <v>)*1</v>
      </c>
      <c r="H4331" s="4">
        <f>[1]Source!AV5404</f>
        <v>1</v>
      </c>
      <c r="I4331" s="4">
        <f>IF([1]Source!BB5404&lt;&gt; 0, [1]Source!BB5404, 1)</f>
        <v>1</v>
      </c>
      <c r="J4331" s="33">
        <f>[1]Source!Q5404</f>
        <v>93053.53</v>
      </c>
      <c r="K4331" s="33"/>
      <c r="M4331"/>
      <c r="N4331"/>
      <c r="O4331"/>
      <c r="P4331"/>
      <c r="Q4331"/>
    </row>
    <row r="4332" spans="1:33" ht="14.25" x14ac:dyDescent="0.2">
      <c r="A4332" s="31"/>
      <c r="B4332" s="31"/>
      <c r="C4332" s="31" t="s">
        <v>37</v>
      </c>
      <c r="D4332" s="32"/>
      <c r="E4332" s="4"/>
      <c r="F4332" s="33">
        <f>[1]Source!AN5404</f>
        <v>184.56</v>
      </c>
      <c r="G4332" s="34" t="str">
        <f>[1]Source!DF5404</f>
        <v>)*1</v>
      </c>
      <c r="H4332" s="4">
        <f>[1]Source!AV5404</f>
        <v>1</v>
      </c>
      <c r="I4332" s="4">
        <f>IF([1]Source!BS5404&lt;&gt; 0, [1]Source!BS5404, 1)</f>
        <v>1</v>
      </c>
      <c r="J4332" s="41">
        <f>[1]Source!R5404</f>
        <v>44940.36</v>
      </c>
      <c r="K4332" s="33"/>
      <c r="M4332"/>
      <c r="N4332"/>
      <c r="O4332"/>
      <c r="P4332"/>
      <c r="Q4332"/>
    </row>
    <row r="4333" spans="1:33" ht="14.25" x14ac:dyDescent="0.2">
      <c r="A4333" s="31"/>
      <c r="B4333" s="31"/>
      <c r="C4333" s="31" t="s">
        <v>40</v>
      </c>
      <c r="D4333" s="32" t="s">
        <v>39</v>
      </c>
      <c r="E4333" s="4">
        <f>[1]Source!AT5404</f>
        <v>70</v>
      </c>
      <c r="F4333" s="33"/>
      <c r="G4333" s="34"/>
      <c r="H4333" s="4"/>
      <c r="I4333" s="4"/>
      <c r="J4333" s="33">
        <f>SUM(AC4329:AC4332)</f>
        <v>15635.38</v>
      </c>
      <c r="K4333" s="33"/>
      <c r="M4333"/>
      <c r="N4333"/>
      <c r="O4333"/>
      <c r="P4333"/>
      <c r="Q4333"/>
    </row>
    <row r="4334" spans="1:33" ht="14.25" x14ac:dyDescent="0.2">
      <c r="A4334" s="31"/>
      <c r="B4334" s="31"/>
      <c r="C4334" s="31" t="s">
        <v>41</v>
      </c>
      <c r="D4334" s="32" t="s">
        <v>39</v>
      </c>
      <c r="E4334" s="4">
        <f>[1]Source!AU5404</f>
        <v>10</v>
      </c>
      <c r="F4334" s="33"/>
      <c r="G4334" s="34"/>
      <c r="H4334" s="4"/>
      <c r="I4334" s="4"/>
      <c r="J4334" s="33">
        <f>SUM(AE4329:AE4333)</f>
        <v>2233.63</v>
      </c>
      <c r="K4334" s="33"/>
      <c r="M4334"/>
      <c r="N4334"/>
      <c r="O4334"/>
      <c r="P4334"/>
      <c r="Q4334"/>
    </row>
    <row r="4335" spans="1:33" ht="14.25" x14ac:dyDescent="0.2">
      <c r="A4335" s="31"/>
      <c r="B4335" s="31"/>
      <c r="C4335" s="31" t="s">
        <v>38</v>
      </c>
      <c r="D4335" s="32" t="s">
        <v>39</v>
      </c>
      <c r="E4335" s="4">
        <f>108</f>
        <v>108</v>
      </c>
      <c r="F4335" s="33"/>
      <c r="G4335" s="34"/>
      <c r="H4335" s="4"/>
      <c r="I4335" s="4"/>
      <c r="J4335" s="33">
        <f>SUM(AG4329:AG4334)</f>
        <v>48535.59</v>
      </c>
      <c r="K4335" s="33"/>
      <c r="M4335"/>
      <c r="N4335"/>
      <c r="O4335"/>
      <c r="P4335"/>
      <c r="Q4335"/>
    </row>
    <row r="4336" spans="1:33" ht="14.25" x14ac:dyDescent="0.2">
      <c r="A4336" s="31"/>
      <c r="B4336" s="31"/>
      <c r="C4336" s="31" t="s">
        <v>42</v>
      </c>
      <c r="D4336" s="32" t="s">
        <v>43</v>
      </c>
      <c r="E4336" s="4">
        <f>[1]Source!AQ5404</f>
        <v>0.37</v>
      </c>
      <c r="F4336" s="33"/>
      <c r="G4336" s="34" t="str">
        <f>[1]Source!DI5404</f>
        <v>)*1</v>
      </c>
      <c r="H4336" s="4">
        <f>[1]Source!AV5404</f>
        <v>1</v>
      </c>
      <c r="I4336" s="4"/>
      <c r="J4336" s="33"/>
      <c r="K4336" s="33">
        <f>[1]Source!U5404</f>
        <v>90.094999999999999</v>
      </c>
      <c r="M4336"/>
      <c r="N4336"/>
      <c r="O4336"/>
      <c r="P4336"/>
      <c r="Q4336"/>
    </row>
    <row r="4337" spans="1:43" ht="15" x14ac:dyDescent="0.25">
      <c r="A4337" s="35"/>
      <c r="B4337" s="35"/>
      <c r="C4337" s="35"/>
      <c r="D4337" s="35"/>
      <c r="E4337" s="35"/>
      <c r="F4337" s="35"/>
      <c r="G4337" s="35"/>
      <c r="H4337" s="35"/>
      <c r="I4337" s="36">
        <f>J4330+J4331+J4333+J4334+J4335</f>
        <v>181794.38999999998</v>
      </c>
      <c r="J4337" s="36"/>
      <c r="K4337" s="37">
        <f>IF([1]Source!I5404&lt;&gt;0, ROUND(I4337/[1]Source!I5404, 2), 0)</f>
        <v>746.59</v>
      </c>
      <c r="M4337"/>
      <c r="N4337"/>
      <c r="O4337"/>
      <c r="P4337"/>
      <c r="Q4337"/>
      <c r="AA4337" s="38">
        <f>I4337</f>
        <v>181794.38999999998</v>
      </c>
    </row>
    <row r="4338" spans="1:43" ht="85.5" x14ac:dyDescent="0.2">
      <c r="A4338" s="31">
        <v>543</v>
      </c>
      <c r="B4338" s="31" t="str">
        <f>[1]Source!F5405</f>
        <v>5.3-1102-25-2/1</v>
      </c>
      <c r="C4338" s="31" t="str">
        <f>[1]Source!G5405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338" s="32" t="str">
        <f>[1]Source!H5405</f>
        <v>м3</v>
      </c>
      <c r="E4338" s="4">
        <f>[1]Source!I5405</f>
        <v>-243.5</v>
      </c>
      <c r="F4338" s="33"/>
      <c r="G4338" s="34"/>
      <c r="H4338" s="4"/>
      <c r="I4338" s="4"/>
      <c r="J4338" s="33"/>
      <c r="K4338" s="33"/>
      <c r="M4338"/>
      <c r="N4338"/>
      <c r="O4338"/>
      <c r="P4338"/>
      <c r="Q4338"/>
      <c r="AB4338">
        <f>ROUND(([1]Source!BZ5405/100)*ROUND(([1]Source!AF5405*[1]Source!AV5405)*[1]Source!I5405, 2), 2)</f>
        <v>-1268.1500000000001</v>
      </c>
      <c r="AC4338">
        <f>[1]Source!X5405</f>
        <v>-1268.1500000000001</v>
      </c>
      <c r="AD4338">
        <f>ROUND(([1]Source!CA5405/100)*ROUND(([1]Source!AF5405*[1]Source!AV5405)*[1]Source!I5405, 2), 2)</f>
        <v>-181.16</v>
      </c>
      <c r="AE4338">
        <f>[1]Source!Y5405</f>
        <v>-181.16</v>
      </c>
      <c r="AF4338">
        <f>ROUND((175/100)*ROUND(([1]Source!AE5405*[1]Source!AV5405)*[1]Source!I5405, 2), 2)</f>
        <v>-5087.93</v>
      </c>
      <c r="AG4338">
        <f>ROUND((108/100)*ROUND([1]Source!CS5405*[1]Source!I5405, 2), 2)</f>
        <v>-3139.98</v>
      </c>
    </row>
    <row r="4339" spans="1:43" ht="14.25" x14ac:dyDescent="0.2">
      <c r="A4339" s="31"/>
      <c r="B4339" s="31"/>
      <c r="C4339" s="31" t="s">
        <v>34</v>
      </c>
      <c r="D4339" s="32"/>
      <c r="E4339" s="4"/>
      <c r="F4339" s="33">
        <f>[1]Source!AO5405</f>
        <v>7.44</v>
      </c>
      <c r="G4339" s="34" t="str">
        <f>[1]Source!DG5405</f>
        <v>)*1</v>
      </c>
      <c r="H4339" s="4">
        <f>[1]Source!AV5405</f>
        <v>1</v>
      </c>
      <c r="I4339" s="4">
        <f>IF([1]Source!BA5405&lt;&gt; 0, [1]Source!BA5405, 1)</f>
        <v>1</v>
      </c>
      <c r="J4339" s="33">
        <f>[1]Source!S5405</f>
        <v>-1811.64</v>
      </c>
      <c r="K4339" s="33"/>
      <c r="M4339"/>
      <c r="N4339"/>
      <c r="O4339"/>
      <c r="P4339"/>
      <c r="Q4339"/>
    </row>
    <row r="4340" spans="1:43" ht="14.25" x14ac:dyDescent="0.2">
      <c r="A4340" s="31"/>
      <c r="B4340" s="31"/>
      <c r="C4340" s="31" t="s">
        <v>33</v>
      </c>
      <c r="D4340" s="32"/>
      <c r="E4340" s="4"/>
      <c r="F4340" s="33">
        <f>[1]Source!AM5405</f>
        <v>24.73</v>
      </c>
      <c r="G4340" s="34" t="str">
        <f>[1]Source!DE5405</f>
        <v>)*1</v>
      </c>
      <c r="H4340" s="4">
        <f>[1]Source!AV5405</f>
        <v>1</v>
      </c>
      <c r="I4340" s="4">
        <f>IF([1]Source!BB5405&lt;&gt; 0, [1]Source!BB5405, 1)</f>
        <v>1</v>
      </c>
      <c r="J4340" s="33">
        <f>[1]Source!Q5405</f>
        <v>-6021.76</v>
      </c>
      <c r="K4340" s="33"/>
      <c r="M4340"/>
      <c r="N4340"/>
      <c r="O4340"/>
      <c r="P4340"/>
      <c r="Q4340"/>
    </row>
    <row r="4341" spans="1:43" ht="14.25" x14ac:dyDescent="0.2">
      <c r="A4341" s="31"/>
      <c r="B4341" s="31"/>
      <c r="C4341" s="31" t="s">
        <v>37</v>
      </c>
      <c r="D4341" s="32"/>
      <c r="E4341" s="4"/>
      <c r="F4341" s="33">
        <f>[1]Source!AN5405</f>
        <v>11.94</v>
      </c>
      <c r="G4341" s="34" t="str">
        <f>[1]Source!DF5405</f>
        <v>)*1</v>
      </c>
      <c r="H4341" s="4">
        <f>[1]Source!AV5405</f>
        <v>1</v>
      </c>
      <c r="I4341" s="4">
        <f>IF([1]Source!BS5405&lt;&gt; 0, [1]Source!BS5405, 1)</f>
        <v>1</v>
      </c>
      <c r="J4341" s="41">
        <f>[1]Source!R5405</f>
        <v>-2907.39</v>
      </c>
      <c r="K4341" s="33"/>
      <c r="M4341"/>
      <c r="N4341"/>
      <c r="O4341"/>
      <c r="P4341"/>
      <c r="Q4341"/>
    </row>
    <row r="4342" spans="1:43" ht="14.25" x14ac:dyDescent="0.2">
      <c r="A4342" s="31"/>
      <c r="B4342" s="31"/>
      <c r="C4342" s="31" t="s">
        <v>40</v>
      </c>
      <c r="D4342" s="32" t="s">
        <v>39</v>
      </c>
      <c r="E4342" s="4">
        <f>[1]Source!AT5405</f>
        <v>70</v>
      </c>
      <c r="F4342" s="33"/>
      <c r="G4342" s="34"/>
      <c r="H4342" s="4"/>
      <c r="I4342" s="4"/>
      <c r="J4342" s="33">
        <f>SUM(AC4338:AC4341)</f>
        <v>-1268.1500000000001</v>
      </c>
      <c r="K4342" s="33"/>
      <c r="M4342"/>
      <c r="N4342"/>
      <c r="O4342"/>
      <c r="P4342"/>
      <c r="Q4342"/>
    </row>
    <row r="4343" spans="1:43" ht="14.25" x14ac:dyDescent="0.2">
      <c r="A4343" s="31"/>
      <c r="B4343" s="31"/>
      <c r="C4343" s="31" t="s">
        <v>41</v>
      </c>
      <c r="D4343" s="32" t="s">
        <v>39</v>
      </c>
      <c r="E4343" s="4">
        <f>[1]Source!AU5405</f>
        <v>10</v>
      </c>
      <c r="F4343" s="33"/>
      <c r="G4343" s="34"/>
      <c r="H4343" s="4"/>
      <c r="I4343" s="4"/>
      <c r="J4343" s="33">
        <f>SUM(AE4338:AE4342)</f>
        <v>-181.16</v>
      </c>
      <c r="K4343" s="33"/>
      <c r="M4343"/>
      <c r="N4343"/>
      <c r="O4343"/>
      <c r="P4343"/>
      <c r="Q4343"/>
    </row>
    <row r="4344" spans="1:43" ht="14.25" x14ac:dyDescent="0.2">
      <c r="A4344" s="31"/>
      <c r="B4344" s="31"/>
      <c r="C4344" s="31" t="s">
        <v>38</v>
      </c>
      <c r="D4344" s="32" t="s">
        <v>39</v>
      </c>
      <c r="E4344" s="4">
        <f>108</f>
        <v>108</v>
      </c>
      <c r="F4344" s="33"/>
      <c r="G4344" s="34"/>
      <c r="H4344" s="4"/>
      <c r="I4344" s="4"/>
      <c r="J4344" s="33">
        <f>SUM(AG4338:AG4343)</f>
        <v>-3139.98</v>
      </c>
      <c r="K4344" s="33"/>
      <c r="M4344"/>
      <c r="N4344"/>
      <c r="O4344"/>
      <c r="P4344"/>
      <c r="Q4344"/>
    </row>
    <row r="4345" spans="1:43" ht="14.25" x14ac:dyDescent="0.2">
      <c r="A4345" s="31"/>
      <c r="B4345" s="31"/>
      <c r="C4345" s="31" t="s">
        <v>42</v>
      </c>
      <c r="D4345" s="32" t="s">
        <v>43</v>
      </c>
      <c r="E4345" s="4">
        <f>[1]Source!AQ5405</f>
        <v>0.03</v>
      </c>
      <c r="F4345" s="33"/>
      <c r="G4345" s="34" t="str">
        <f>[1]Source!DI5405</f>
        <v>)*1</v>
      </c>
      <c r="H4345" s="4">
        <f>[1]Source!AV5405</f>
        <v>1</v>
      </c>
      <c r="I4345" s="4"/>
      <c r="J4345" s="33"/>
      <c r="K4345" s="33">
        <f>[1]Source!U5405</f>
        <v>-7.3049999999999997</v>
      </c>
      <c r="M4345"/>
      <c r="N4345"/>
      <c r="O4345"/>
      <c r="P4345"/>
      <c r="Q4345"/>
    </row>
    <row r="4346" spans="1:43" ht="15" x14ac:dyDescent="0.25">
      <c r="A4346" s="35"/>
      <c r="B4346" s="35"/>
      <c r="C4346" s="35"/>
      <c r="D4346" s="35"/>
      <c r="E4346" s="35"/>
      <c r="F4346" s="35"/>
      <c r="G4346" s="35"/>
      <c r="H4346" s="35"/>
      <c r="I4346" s="36">
        <f>J4339+J4340+J4342+J4343+J4344</f>
        <v>-12422.69</v>
      </c>
      <c r="J4346" s="36"/>
      <c r="K4346" s="37">
        <f>IF([1]Source!I5405&lt;&gt;0, ROUND(I4346/[1]Source!I5405, 2), 0)</f>
        <v>51.02</v>
      </c>
      <c r="M4346"/>
      <c r="N4346"/>
      <c r="O4346"/>
      <c r="P4346"/>
      <c r="Q4346"/>
      <c r="AA4346" s="38">
        <f>I4346</f>
        <v>-12422.69</v>
      </c>
    </row>
    <row r="4347" spans="1:43" x14ac:dyDescent="0.2">
      <c r="M4347"/>
      <c r="N4347"/>
      <c r="O4347"/>
      <c r="P4347"/>
      <c r="Q4347"/>
    </row>
    <row r="4348" spans="1:43" ht="15" x14ac:dyDescent="0.25">
      <c r="A4348" s="42" t="str">
        <f>CONCATENATE("Итого по разделу: ",IF([1]Source!G5407&lt;&gt;"Новый раздел", [1]Source!G5407, ""))</f>
        <v>Итого по разделу: Сбор и перемещение снега и скола к месту временного размещения( 2024г.)</v>
      </c>
      <c r="B4348" s="42"/>
      <c r="C4348" s="42"/>
      <c r="D4348" s="42"/>
      <c r="E4348" s="42"/>
      <c r="F4348" s="42"/>
      <c r="G4348" s="42"/>
      <c r="H4348" s="42"/>
      <c r="I4348" s="43">
        <f>SUM(AA4274:AA4347)</f>
        <v>602950.68000000005</v>
      </c>
      <c r="J4348" s="44"/>
      <c r="K4348" s="47"/>
      <c r="L4348" s="38">
        <f>I4348</f>
        <v>602950.68000000005</v>
      </c>
      <c r="M4348" s="2">
        <f>ROUND(I4348*$I$4874,2)</f>
        <v>435455.11</v>
      </c>
      <c r="N4348" s="2">
        <f>ROUND(M4348*1.2/105*100,2)</f>
        <v>497662.98</v>
      </c>
      <c r="O4348" s="2">
        <f>ROUND(N4348*0.05,2)</f>
        <v>24883.15</v>
      </c>
      <c r="P4348" s="2">
        <f>N4348+O4348</f>
        <v>522546.13</v>
      </c>
      <c r="Q4348" s="3">
        <v>69</v>
      </c>
      <c r="R4348">
        <v>2</v>
      </c>
      <c r="S4348" s="2">
        <v>309677.15999999997</v>
      </c>
      <c r="AQ4348" s="46" t="str">
        <f>CONCATENATE("Итого по разделу: ",IF([1]Source!G5407&lt;&gt;"Новый раздел", [1]Source!G5407, ""))</f>
        <v>Итого по разделу: Сбор и перемещение снега и скола к месту временного размещения( 2024г.)</v>
      </c>
    </row>
    <row r="4349" spans="1:43" x14ac:dyDescent="0.2">
      <c r="M4349"/>
      <c r="N4349"/>
      <c r="O4349"/>
      <c r="P4349"/>
      <c r="Q4349"/>
    </row>
    <row r="4350" spans="1:43" x14ac:dyDescent="0.2">
      <c r="M4350"/>
      <c r="N4350"/>
      <c r="O4350"/>
      <c r="P4350"/>
      <c r="Q4350"/>
    </row>
    <row r="4351" spans="1:43" ht="16.5" x14ac:dyDescent="0.25">
      <c r="A4351" s="29" t="str">
        <f>CONCATENATE("Раздел: ",IF([1]Source!G5437&lt;&gt;"Новый раздел", [1]Source!G5437, ""))</f>
        <v>Раздел: Сбор и перемещение снега и скола к месту временного размещения( 2025г.)</v>
      </c>
      <c r="B4351" s="29"/>
      <c r="C4351" s="29"/>
      <c r="D4351" s="29"/>
      <c r="E4351" s="29"/>
      <c r="F4351" s="29"/>
      <c r="G4351" s="29"/>
      <c r="H4351" s="29"/>
      <c r="I4351" s="29"/>
      <c r="J4351" s="29"/>
      <c r="K4351" s="29"/>
      <c r="M4351"/>
      <c r="N4351"/>
      <c r="O4351"/>
      <c r="P4351"/>
      <c r="Q4351"/>
    </row>
    <row r="4352" spans="1:43" ht="85.5" x14ac:dyDescent="0.2">
      <c r="A4352" s="31">
        <v>544</v>
      </c>
      <c r="B4352" s="31" t="str">
        <f>[1]Source!F5441</f>
        <v>5.3-1102-25-1/1</v>
      </c>
      <c r="C4352" s="31" t="str">
        <f>[1]Source!G5441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</c>
      <c r="D4352" s="32" t="str">
        <f>[1]Source!H5441</f>
        <v>м3</v>
      </c>
      <c r="E4352" s="4">
        <f>[1]Source!I5441</f>
        <v>502</v>
      </c>
      <c r="F4352" s="33"/>
      <c r="G4352" s="34"/>
      <c r="H4352" s="4"/>
      <c r="I4352" s="4"/>
      <c r="J4352" s="33"/>
      <c r="K4352" s="33"/>
      <c r="M4352"/>
      <c r="N4352"/>
      <c r="O4352"/>
      <c r="P4352"/>
      <c r="Q4352"/>
      <c r="AB4352">
        <f>ROUND(([1]Source!BZ5441/100)*ROUND(([1]Source!AF5441*[1]Source!AV5441)*[1]Source!I5441, 2), 2)</f>
        <v>32233.919999999998</v>
      </c>
      <c r="AC4352">
        <f>[1]Source!X5441</f>
        <v>32233.919999999998</v>
      </c>
      <c r="AD4352">
        <f>ROUND(([1]Source!CA5441/100)*ROUND(([1]Source!AF5441*[1]Source!AV5441)*[1]Source!I5441, 2), 2)</f>
        <v>4604.8500000000004</v>
      </c>
      <c r="AE4352">
        <f>[1]Source!Y5441</f>
        <v>4604.8500000000004</v>
      </c>
      <c r="AF4352">
        <f>ROUND((175/100)*ROUND(([1]Source!AE5441*[1]Source!AV5441)*[1]Source!I5441, 2), 2)</f>
        <v>162135.96</v>
      </c>
      <c r="AG4352">
        <f>ROUND((108/100)*ROUND([1]Source!CS5441*[1]Source!I5441, 2), 2)</f>
        <v>100061.05</v>
      </c>
    </row>
    <row r="4353" spans="1:33" ht="14.25" x14ac:dyDescent="0.2">
      <c r="A4353" s="31"/>
      <c r="B4353" s="31"/>
      <c r="C4353" s="31" t="s">
        <v>34</v>
      </c>
      <c r="D4353" s="32"/>
      <c r="E4353" s="4"/>
      <c r="F4353" s="33">
        <f>[1]Source!AO5441</f>
        <v>91.73</v>
      </c>
      <c r="G4353" s="34" t="str">
        <f>[1]Source!DG5441</f>
        <v>)*1</v>
      </c>
      <c r="H4353" s="4">
        <f>[1]Source!AV5441</f>
        <v>1</v>
      </c>
      <c r="I4353" s="4">
        <f>IF([1]Source!BA5441&lt;&gt; 0, [1]Source!BA5441, 1)</f>
        <v>1</v>
      </c>
      <c r="J4353" s="33">
        <f>[1]Source!S5441</f>
        <v>46048.46</v>
      </c>
      <c r="K4353" s="33"/>
      <c r="M4353"/>
      <c r="N4353"/>
      <c r="O4353"/>
      <c r="P4353"/>
      <c r="Q4353"/>
    </row>
    <row r="4354" spans="1:33" ht="14.25" x14ac:dyDescent="0.2">
      <c r="A4354" s="31"/>
      <c r="B4354" s="31"/>
      <c r="C4354" s="31" t="s">
        <v>33</v>
      </c>
      <c r="D4354" s="32"/>
      <c r="E4354" s="4"/>
      <c r="F4354" s="33">
        <f>[1]Source!AM5441</f>
        <v>382.15</v>
      </c>
      <c r="G4354" s="34" t="str">
        <f>[1]Source!DE5441</f>
        <v>)*1</v>
      </c>
      <c r="H4354" s="4">
        <f>[1]Source!AV5441</f>
        <v>1</v>
      </c>
      <c r="I4354" s="4">
        <f>IF([1]Source!BB5441&lt;&gt; 0, [1]Source!BB5441, 1)</f>
        <v>1</v>
      </c>
      <c r="J4354" s="33">
        <f>[1]Source!Q5441</f>
        <v>191839.3</v>
      </c>
      <c r="K4354" s="33"/>
      <c r="M4354"/>
      <c r="N4354"/>
      <c r="O4354"/>
      <c r="P4354"/>
      <c r="Q4354"/>
    </row>
    <row r="4355" spans="1:33" ht="14.25" x14ac:dyDescent="0.2">
      <c r="A4355" s="31"/>
      <c r="B4355" s="31"/>
      <c r="C4355" s="31" t="s">
        <v>37</v>
      </c>
      <c r="D4355" s="32"/>
      <c r="E4355" s="4"/>
      <c r="F4355" s="33">
        <f>[1]Source!AN5441</f>
        <v>184.56</v>
      </c>
      <c r="G4355" s="34" t="str">
        <f>[1]Source!DF5441</f>
        <v>)*1</v>
      </c>
      <c r="H4355" s="4">
        <f>[1]Source!AV5441</f>
        <v>1</v>
      </c>
      <c r="I4355" s="4">
        <f>IF([1]Source!BS5441&lt;&gt; 0, [1]Source!BS5441, 1)</f>
        <v>1</v>
      </c>
      <c r="J4355" s="41">
        <f>[1]Source!R5441</f>
        <v>92649.12</v>
      </c>
      <c r="K4355" s="33"/>
      <c r="M4355"/>
      <c r="N4355"/>
      <c r="O4355"/>
      <c r="P4355"/>
      <c r="Q4355"/>
    </row>
    <row r="4356" spans="1:33" ht="14.25" x14ac:dyDescent="0.2">
      <c r="A4356" s="31"/>
      <c r="B4356" s="31"/>
      <c r="C4356" s="31" t="s">
        <v>40</v>
      </c>
      <c r="D4356" s="32" t="s">
        <v>39</v>
      </c>
      <c r="E4356" s="4">
        <f>[1]Source!AT5441</f>
        <v>70</v>
      </c>
      <c r="F4356" s="33"/>
      <c r="G4356" s="34"/>
      <c r="H4356" s="4"/>
      <c r="I4356" s="4"/>
      <c r="J4356" s="33">
        <f>SUM(AC4352:AC4355)</f>
        <v>32233.919999999998</v>
      </c>
      <c r="K4356" s="33"/>
      <c r="M4356"/>
      <c r="N4356"/>
      <c r="O4356"/>
      <c r="P4356"/>
      <c r="Q4356"/>
    </row>
    <row r="4357" spans="1:33" ht="14.25" x14ac:dyDescent="0.2">
      <c r="A4357" s="31"/>
      <c r="B4357" s="31"/>
      <c r="C4357" s="31" t="s">
        <v>41</v>
      </c>
      <c r="D4357" s="32" t="s">
        <v>39</v>
      </c>
      <c r="E4357" s="4">
        <f>[1]Source!AU5441</f>
        <v>10</v>
      </c>
      <c r="F4357" s="33"/>
      <c r="G4357" s="34"/>
      <c r="H4357" s="4"/>
      <c r="I4357" s="4"/>
      <c r="J4357" s="33">
        <f>SUM(AE4352:AE4356)</f>
        <v>4604.8500000000004</v>
      </c>
      <c r="K4357" s="33"/>
      <c r="M4357"/>
      <c r="N4357"/>
      <c r="O4357"/>
      <c r="P4357"/>
      <c r="Q4357"/>
    </row>
    <row r="4358" spans="1:33" ht="14.25" x14ac:dyDescent="0.2">
      <c r="A4358" s="31"/>
      <c r="B4358" s="31"/>
      <c r="C4358" s="31" t="s">
        <v>38</v>
      </c>
      <c r="D4358" s="32" t="s">
        <v>39</v>
      </c>
      <c r="E4358" s="4">
        <f>108</f>
        <v>108</v>
      </c>
      <c r="F4358" s="33"/>
      <c r="G4358" s="34"/>
      <c r="H4358" s="4"/>
      <c r="I4358" s="4"/>
      <c r="J4358" s="33">
        <f>SUM(AG4352:AG4357)</f>
        <v>100061.05</v>
      </c>
      <c r="K4358" s="33"/>
      <c r="M4358"/>
      <c r="N4358"/>
      <c r="O4358"/>
      <c r="P4358"/>
      <c r="Q4358"/>
    </row>
    <row r="4359" spans="1:33" ht="14.25" x14ac:dyDescent="0.2">
      <c r="A4359" s="31"/>
      <c r="B4359" s="31"/>
      <c r="C4359" s="31" t="s">
        <v>42</v>
      </c>
      <c r="D4359" s="32" t="s">
        <v>43</v>
      </c>
      <c r="E4359" s="4">
        <f>[1]Source!AQ5441</f>
        <v>0.37</v>
      </c>
      <c r="F4359" s="33"/>
      <c r="G4359" s="34" t="str">
        <f>[1]Source!DI5441</f>
        <v>)*1</v>
      </c>
      <c r="H4359" s="4">
        <f>[1]Source!AV5441</f>
        <v>1</v>
      </c>
      <c r="I4359" s="4"/>
      <c r="J4359" s="33"/>
      <c r="K4359" s="33">
        <f>[1]Source!U5441</f>
        <v>185.74</v>
      </c>
      <c r="M4359"/>
      <c r="N4359"/>
      <c r="O4359"/>
      <c r="P4359"/>
      <c r="Q4359"/>
    </row>
    <row r="4360" spans="1:33" ht="15" x14ac:dyDescent="0.25">
      <c r="A4360" s="35"/>
      <c r="B4360" s="35"/>
      <c r="C4360" s="35"/>
      <c r="D4360" s="35"/>
      <c r="E4360" s="35"/>
      <c r="F4360" s="35"/>
      <c r="G4360" s="35"/>
      <c r="H4360" s="35"/>
      <c r="I4360" s="36">
        <f>J4353+J4354+J4356+J4357+J4358</f>
        <v>374787.57999999996</v>
      </c>
      <c r="J4360" s="36"/>
      <c r="K4360" s="37">
        <f>IF([1]Source!I5441&lt;&gt;0, ROUND(I4360/[1]Source!I5441, 2), 0)</f>
        <v>746.59</v>
      </c>
      <c r="M4360"/>
      <c r="N4360"/>
      <c r="O4360"/>
      <c r="P4360"/>
      <c r="Q4360"/>
      <c r="AA4360" s="38">
        <f>I4360</f>
        <v>374787.57999999996</v>
      </c>
    </row>
    <row r="4361" spans="1:33" ht="85.5" x14ac:dyDescent="0.2">
      <c r="A4361" s="31">
        <v>545</v>
      </c>
      <c r="B4361" s="31" t="str">
        <f>[1]Source!F5442</f>
        <v>5.3-1102-25-2/1</v>
      </c>
      <c r="C4361" s="31" t="str">
        <f>[1]Source!G5442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361" s="32" t="str">
        <f>[1]Source!H5442</f>
        <v>м3</v>
      </c>
      <c r="E4361" s="4">
        <f>[1]Source!I5442</f>
        <v>-502</v>
      </c>
      <c r="F4361" s="33"/>
      <c r="G4361" s="34"/>
      <c r="H4361" s="4"/>
      <c r="I4361" s="4"/>
      <c r="J4361" s="33"/>
      <c r="K4361" s="33"/>
      <c r="M4361"/>
      <c r="N4361"/>
      <c r="O4361"/>
      <c r="P4361"/>
      <c r="Q4361"/>
      <c r="AB4361">
        <f>ROUND(([1]Source!BZ5442/100)*ROUND(([1]Source!AF5442*[1]Source!AV5442)*[1]Source!I5442, 2), 2)</f>
        <v>-10457.66</v>
      </c>
      <c r="AC4361">
        <f>[1]Source!X5442</f>
        <v>-10457.66</v>
      </c>
      <c r="AD4361">
        <f>ROUND(([1]Source!CA5442/100)*ROUND(([1]Source!AF5442*[1]Source!AV5442)*[1]Source!I5442, 2), 2)</f>
        <v>-1493.95</v>
      </c>
      <c r="AE4361">
        <f>[1]Source!Y5442</f>
        <v>-1493.95</v>
      </c>
      <c r="AF4361">
        <f>ROUND((175/100)*ROUND(([1]Source!AE5442*[1]Source!AV5442)*[1]Source!I5442, 2), 2)</f>
        <v>-41957.16</v>
      </c>
      <c r="AG4361">
        <f>ROUND((108/100)*ROUND([1]Source!CS5442*[1]Source!I5442, 2), 2)</f>
        <v>-25893.56</v>
      </c>
    </row>
    <row r="4362" spans="1:33" ht="14.25" x14ac:dyDescent="0.2">
      <c r="A4362" s="31"/>
      <c r="B4362" s="31"/>
      <c r="C4362" s="31" t="s">
        <v>34</v>
      </c>
      <c r="D4362" s="32"/>
      <c r="E4362" s="4"/>
      <c r="F4362" s="33">
        <f>[1]Source!AO5442</f>
        <v>7.44</v>
      </c>
      <c r="G4362" s="34" t="str">
        <f>[1]Source!DG5442</f>
        <v>)*4</v>
      </c>
      <c r="H4362" s="4">
        <f>[1]Source!AV5442</f>
        <v>1</v>
      </c>
      <c r="I4362" s="4">
        <f>IF([1]Source!BA5442&lt;&gt; 0, [1]Source!BA5442, 1)</f>
        <v>1</v>
      </c>
      <c r="J4362" s="33">
        <f>[1]Source!S5442</f>
        <v>-14939.52</v>
      </c>
      <c r="K4362" s="33"/>
      <c r="M4362"/>
      <c r="N4362"/>
      <c r="O4362"/>
      <c r="P4362"/>
      <c r="Q4362"/>
    </row>
    <row r="4363" spans="1:33" ht="14.25" x14ac:dyDescent="0.2">
      <c r="A4363" s="31"/>
      <c r="B4363" s="31"/>
      <c r="C4363" s="31" t="s">
        <v>33</v>
      </c>
      <c r="D4363" s="32"/>
      <c r="E4363" s="4"/>
      <c r="F4363" s="33">
        <f>[1]Source!AM5442</f>
        <v>24.73</v>
      </c>
      <c r="G4363" s="34" t="str">
        <f>[1]Source!DE5442</f>
        <v>)*4</v>
      </c>
      <c r="H4363" s="4">
        <f>[1]Source!AV5442</f>
        <v>1</v>
      </c>
      <c r="I4363" s="4">
        <f>IF([1]Source!BB5442&lt;&gt; 0, [1]Source!BB5442, 1)</f>
        <v>1</v>
      </c>
      <c r="J4363" s="33">
        <f>[1]Source!Q5442</f>
        <v>-49657.84</v>
      </c>
      <c r="K4363" s="33"/>
      <c r="M4363"/>
      <c r="N4363"/>
      <c r="O4363"/>
      <c r="P4363"/>
      <c r="Q4363"/>
    </row>
    <row r="4364" spans="1:33" ht="14.25" x14ac:dyDescent="0.2">
      <c r="A4364" s="31"/>
      <c r="B4364" s="31"/>
      <c r="C4364" s="31" t="s">
        <v>37</v>
      </c>
      <c r="D4364" s="32"/>
      <c r="E4364" s="4"/>
      <c r="F4364" s="33">
        <f>[1]Source!AN5442</f>
        <v>11.94</v>
      </c>
      <c r="G4364" s="34" t="str">
        <f>[1]Source!DF5442</f>
        <v>)*4</v>
      </c>
      <c r="H4364" s="4">
        <f>[1]Source!AV5442</f>
        <v>1</v>
      </c>
      <c r="I4364" s="4">
        <f>IF([1]Source!BS5442&lt;&gt; 0, [1]Source!BS5442, 1)</f>
        <v>1</v>
      </c>
      <c r="J4364" s="41">
        <f>[1]Source!R5442</f>
        <v>-23975.52</v>
      </c>
      <c r="K4364" s="33"/>
      <c r="M4364"/>
      <c r="N4364"/>
      <c r="O4364"/>
      <c r="P4364"/>
      <c r="Q4364"/>
    </row>
    <row r="4365" spans="1:33" ht="14.25" x14ac:dyDescent="0.2">
      <c r="A4365" s="31"/>
      <c r="B4365" s="31"/>
      <c r="C4365" s="31" t="s">
        <v>40</v>
      </c>
      <c r="D4365" s="32" t="s">
        <v>39</v>
      </c>
      <c r="E4365" s="4">
        <f>[1]Source!AT5442</f>
        <v>70</v>
      </c>
      <c r="F4365" s="33"/>
      <c r="G4365" s="34"/>
      <c r="H4365" s="4"/>
      <c r="I4365" s="4"/>
      <c r="J4365" s="33">
        <f>SUM(AC4361:AC4364)</f>
        <v>-10457.66</v>
      </c>
      <c r="K4365" s="33"/>
      <c r="M4365"/>
      <c r="N4365"/>
      <c r="O4365"/>
      <c r="P4365"/>
      <c r="Q4365"/>
    </row>
    <row r="4366" spans="1:33" ht="14.25" x14ac:dyDescent="0.2">
      <c r="A4366" s="31"/>
      <c r="B4366" s="31"/>
      <c r="C4366" s="31" t="s">
        <v>41</v>
      </c>
      <c r="D4366" s="32" t="s">
        <v>39</v>
      </c>
      <c r="E4366" s="4">
        <f>[1]Source!AU5442</f>
        <v>10</v>
      </c>
      <c r="F4366" s="33"/>
      <c r="G4366" s="34"/>
      <c r="H4366" s="4"/>
      <c r="I4366" s="4"/>
      <c r="J4366" s="33">
        <f>SUM(AE4361:AE4365)</f>
        <v>-1493.95</v>
      </c>
      <c r="K4366" s="33"/>
      <c r="M4366"/>
      <c r="N4366"/>
      <c r="O4366"/>
      <c r="P4366"/>
      <c r="Q4366"/>
    </row>
    <row r="4367" spans="1:33" ht="14.25" x14ac:dyDescent="0.2">
      <c r="A4367" s="31"/>
      <c r="B4367" s="31"/>
      <c r="C4367" s="31" t="s">
        <v>38</v>
      </c>
      <c r="D4367" s="32" t="s">
        <v>39</v>
      </c>
      <c r="E4367" s="4">
        <f>108</f>
        <v>108</v>
      </c>
      <c r="F4367" s="33"/>
      <c r="G4367" s="34"/>
      <c r="H4367" s="4"/>
      <c r="I4367" s="4"/>
      <c r="J4367" s="33">
        <f>SUM(AG4361:AG4366)</f>
        <v>-25893.56</v>
      </c>
      <c r="K4367" s="33"/>
      <c r="M4367"/>
      <c r="N4367"/>
      <c r="O4367"/>
      <c r="P4367"/>
      <c r="Q4367"/>
    </row>
    <row r="4368" spans="1:33" ht="14.25" x14ac:dyDescent="0.2">
      <c r="A4368" s="31"/>
      <c r="B4368" s="31"/>
      <c r="C4368" s="31" t="s">
        <v>42</v>
      </c>
      <c r="D4368" s="32" t="s">
        <v>43</v>
      </c>
      <c r="E4368" s="4">
        <f>[1]Source!AQ5442</f>
        <v>0.03</v>
      </c>
      <c r="F4368" s="33"/>
      <c r="G4368" s="34" t="str">
        <f>[1]Source!DI5442</f>
        <v>)*4</v>
      </c>
      <c r="H4368" s="4">
        <f>[1]Source!AV5442</f>
        <v>1</v>
      </c>
      <c r="I4368" s="4"/>
      <c r="J4368" s="33"/>
      <c r="K4368" s="33">
        <f>[1]Source!U5442</f>
        <v>-60.239999999999995</v>
      </c>
      <c r="M4368"/>
      <c r="N4368"/>
      <c r="O4368"/>
      <c r="P4368"/>
      <c r="Q4368"/>
    </row>
    <row r="4369" spans="1:33" ht="15" x14ac:dyDescent="0.25">
      <c r="A4369" s="35"/>
      <c r="B4369" s="35"/>
      <c r="C4369" s="35"/>
      <c r="D4369" s="35"/>
      <c r="E4369" s="35"/>
      <c r="F4369" s="35"/>
      <c r="G4369" s="35"/>
      <c r="H4369" s="35"/>
      <c r="I4369" s="36">
        <f>J4362+J4363+J4365+J4366+J4367</f>
        <v>-102442.53</v>
      </c>
      <c r="J4369" s="36"/>
      <c r="K4369" s="37">
        <f>IF([1]Source!I5442&lt;&gt;0, ROUND(I4369/[1]Source!I5442, 2), 0)</f>
        <v>204.07</v>
      </c>
      <c r="M4369"/>
      <c r="N4369"/>
      <c r="O4369"/>
      <c r="P4369"/>
      <c r="Q4369"/>
      <c r="AA4369" s="38">
        <f>I4369</f>
        <v>-102442.53</v>
      </c>
    </row>
    <row r="4370" spans="1:33" ht="85.5" x14ac:dyDescent="0.2">
      <c r="A4370" s="31">
        <v>546</v>
      </c>
      <c r="B4370" s="31" t="str">
        <f>[1]Source!F5443</f>
        <v>5.3-1102-25-1/1</v>
      </c>
      <c r="C4370" s="31" t="str">
        <f>[1]Source!G5443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</c>
      <c r="D4370" s="32" t="str">
        <f>[1]Source!H5443</f>
        <v>м3</v>
      </c>
      <c r="E4370" s="4">
        <f>[1]Source!I5443</f>
        <v>502</v>
      </c>
      <c r="F4370" s="33"/>
      <c r="G4370" s="34"/>
      <c r="H4370" s="4"/>
      <c r="I4370" s="4"/>
      <c r="J4370" s="33"/>
      <c r="K4370" s="33"/>
      <c r="M4370"/>
      <c r="N4370"/>
      <c r="O4370"/>
      <c r="P4370"/>
      <c r="Q4370"/>
      <c r="AB4370">
        <f>ROUND(([1]Source!BZ5443/100)*ROUND(([1]Source!AF5443*[1]Source!AV5443)*[1]Source!I5443, 2), 2)</f>
        <v>32233.919999999998</v>
      </c>
      <c r="AC4370">
        <f>[1]Source!X5443</f>
        <v>32233.919999999998</v>
      </c>
      <c r="AD4370">
        <f>ROUND(([1]Source!CA5443/100)*ROUND(([1]Source!AF5443*[1]Source!AV5443)*[1]Source!I5443, 2), 2)</f>
        <v>4604.8500000000004</v>
      </c>
      <c r="AE4370">
        <f>[1]Source!Y5443</f>
        <v>4604.8500000000004</v>
      </c>
      <c r="AF4370">
        <f>ROUND((175/100)*ROUND(([1]Source!AE5443*[1]Source!AV5443)*[1]Source!I5443, 2), 2)</f>
        <v>162135.96</v>
      </c>
      <c r="AG4370">
        <f>ROUND((108/100)*ROUND([1]Source!CS5443*[1]Source!I5443, 2), 2)</f>
        <v>100061.05</v>
      </c>
    </row>
    <row r="4371" spans="1:33" ht="14.25" x14ac:dyDescent="0.2">
      <c r="A4371" s="31"/>
      <c r="B4371" s="31"/>
      <c r="C4371" s="31" t="s">
        <v>34</v>
      </c>
      <c r="D4371" s="32"/>
      <c r="E4371" s="4"/>
      <c r="F4371" s="33">
        <f>[1]Source!AO5443</f>
        <v>91.73</v>
      </c>
      <c r="G4371" s="34" t="str">
        <f>[1]Source!DG5443</f>
        <v>)*1</v>
      </c>
      <c r="H4371" s="4">
        <f>[1]Source!AV5443</f>
        <v>1</v>
      </c>
      <c r="I4371" s="4">
        <f>IF([1]Source!BA5443&lt;&gt; 0, [1]Source!BA5443, 1)</f>
        <v>1</v>
      </c>
      <c r="J4371" s="33">
        <f>[1]Source!S5443</f>
        <v>46048.46</v>
      </c>
      <c r="K4371" s="33"/>
      <c r="M4371"/>
      <c r="N4371"/>
      <c r="O4371"/>
      <c r="P4371"/>
      <c r="Q4371"/>
    </row>
    <row r="4372" spans="1:33" ht="14.25" x14ac:dyDescent="0.2">
      <c r="A4372" s="31"/>
      <c r="B4372" s="31"/>
      <c r="C4372" s="31" t="s">
        <v>33</v>
      </c>
      <c r="D4372" s="32"/>
      <c r="E4372" s="4"/>
      <c r="F4372" s="33">
        <f>[1]Source!AM5443</f>
        <v>382.15</v>
      </c>
      <c r="G4372" s="34" t="str">
        <f>[1]Source!DE5443</f>
        <v>)*1</v>
      </c>
      <c r="H4372" s="4">
        <f>[1]Source!AV5443</f>
        <v>1</v>
      </c>
      <c r="I4372" s="4">
        <f>IF([1]Source!BB5443&lt;&gt; 0, [1]Source!BB5443, 1)</f>
        <v>1</v>
      </c>
      <c r="J4372" s="33">
        <f>[1]Source!Q5443</f>
        <v>191839.3</v>
      </c>
      <c r="K4372" s="33"/>
      <c r="M4372"/>
      <c r="N4372"/>
      <c r="O4372"/>
      <c r="P4372"/>
      <c r="Q4372"/>
    </row>
    <row r="4373" spans="1:33" ht="14.25" x14ac:dyDescent="0.2">
      <c r="A4373" s="31"/>
      <c r="B4373" s="31"/>
      <c r="C4373" s="31" t="s">
        <v>37</v>
      </c>
      <c r="D4373" s="32"/>
      <c r="E4373" s="4"/>
      <c r="F4373" s="33">
        <f>[1]Source!AN5443</f>
        <v>184.56</v>
      </c>
      <c r="G4373" s="34" t="str">
        <f>[1]Source!DF5443</f>
        <v>)*1</v>
      </c>
      <c r="H4373" s="4">
        <f>[1]Source!AV5443</f>
        <v>1</v>
      </c>
      <c r="I4373" s="4">
        <f>IF([1]Source!BS5443&lt;&gt; 0, [1]Source!BS5443, 1)</f>
        <v>1</v>
      </c>
      <c r="J4373" s="41">
        <f>[1]Source!R5443</f>
        <v>92649.12</v>
      </c>
      <c r="K4373" s="33"/>
      <c r="M4373"/>
      <c r="N4373"/>
      <c r="O4373"/>
      <c r="P4373"/>
      <c r="Q4373"/>
    </row>
    <row r="4374" spans="1:33" ht="14.25" x14ac:dyDescent="0.2">
      <c r="A4374" s="31"/>
      <c r="B4374" s="31"/>
      <c r="C4374" s="31" t="s">
        <v>40</v>
      </c>
      <c r="D4374" s="32" t="s">
        <v>39</v>
      </c>
      <c r="E4374" s="4">
        <f>[1]Source!AT5443</f>
        <v>70</v>
      </c>
      <c r="F4374" s="33"/>
      <c r="G4374" s="34"/>
      <c r="H4374" s="4"/>
      <c r="I4374" s="4"/>
      <c r="J4374" s="33">
        <f>SUM(AC4370:AC4373)</f>
        <v>32233.919999999998</v>
      </c>
      <c r="K4374" s="33"/>
      <c r="M4374"/>
      <c r="N4374"/>
      <c r="O4374"/>
      <c r="P4374"/>
      <c r="Q4374"/>
    </row>
    <row r="4375" spans="1:33" ht="14.25" x14ac:dyDescent="0.2">
      <c r="A4375" s="31"/>
      <c r="B4375" s="31"/>
      <c r="C4375" s="31" t="s">
        <v>41</v>
      </c>
      <c r="D4375" s="32" t="s">
        <v>39</v>
      </c>
      <c r="E4375" s="4">
        <f>[1]Source!AU5443</f>
        <v>10</v>
      </c>
      <c r="F4375" s="33"/>
      <c r="G4375" s="34"/>
      <c r="H4375" s="4"/>
      <c r="I4375" s="4"/>
      <c r="J4375" s="33">
        <f>SUM(AE4370:AE4374)</f>
        <v>4604.8500000000004</v>
      </c>
      <c r="K4375" s="33"/>
      <c r="M4375"/>
      <c r="N4375"/>
      <c r="O4375"/>
      <c r="P4375"/>
      <c r="Q4375"/>
    </row>
    <row r="4376" spans="1:33" ht="14.25" x14ac:dyDescent="0.2">
      <c r="A4376" s="31"/>
      <c r="B4376" s="31"/>
      <c r="C4376" s="31" t="s">
        <v>38</v>
      </c>
      <c r="D4376" s="32" t="s">
        <v>39</v>
      </c>
      <c r="E4376" s="4">
        <f>108</f>
        <v>108</v>
      </c>
      <c r="F4376" s="33"/>
      <c r="G4376" s="34"/>
      <c r="H4376" s="4"/>
      <c r="I4376" s="4"/>
      <c r="J4376" s="33">
        <f>SUM(AG4370:AG4375)</f>
        <v>100061.05</v>
      </c>
      <c r="K4376" s="33"/>
      <c r="M4376"/>
      <c r="N4376"/>
      <c r="O4376"/>
      <c r="P4376"/>
      <c r="Q4376"/>
    </row>
    <row r="4377" spans="1:33" ht="14.25" x14ac:dyDescent="0.2">
      <c r="A4377" s="31"/>
      <c r="B4377" s="31"/>
      <c r="C4377" s="31" t="s">
        <v>42</v>
      </c>
      <c r="D4377" s="32" t="s">
        <v>43</v>
      </c>
      <c r="E4377" s="4">
        <f>[1]Source!AQ5443</f>
        <v>0.37</v>
      </c>
      <c r="F4377" s="33"/>
      <c r="G4377" s="34" t="str">
        <f>[1]Source!DI5443</f>
        <v>)*1</v>
      </c>
      <c r="H4377" s="4">
        <f>[1]Source!AV5443</f>
        <v>1</v>
      </c>
      <c r="I4377" s="4"/>
      <c r="J4377" s="33"/>
      <c r="K4377" s="33">
        <f>[1]Source!U5443</f>
        <v>185.74</v>
      </c>
      <c r="M4377"/>
      <c r="N4377"/>
      <c r="O4377"/>
      <c r="P4377"/>
      <c r="Q4377"/>
    </row>
    <row r="4378" spans="1:33" ht="15" x14ac:dyDescent="0.25">
      <c r="A4378" s="35"/>
      <c r="B4378" s="35"/>
      <c r="C4378" s="35"/>
      <c r="D4378" s="35"/>
      <c r="E4378" s="35"/>
      <c r="F4378" s="35"/>
      <c r="G4378" s="35"/>
      <c r="H4378" s="35"/>
      <c r="I4378" s="36">
        <f>J4371+J4372+J4374+J4375+J4376</f>
        <v>374787.57999999996</v>
      </c>
      <c r="J4378" s="36"/>
      <c r="K4378" s="37">
        <f>IF([1]Source!I5443&lt;&gt;0, ROUND(I4378/[1]Source!I5443, 2), 0)</f>
        <v>746.59</v>
      </c>
      <c r="M4378"/>
      <c r="N4378"/>
      <c r="O4378"/>
      <c r="P4378"/>
      <c r="Q4378"/>
      <c r="AA4378" s="38">
        <f>I4378</f>
        <v>374787.57999999996</v>
      </c>
    </row>
    <row r="4379" spans="1:33" ht="85.5" x14ac:dyDescent="0.2">
      <c r="A4379" s="31">
        <v>547</v>
      </c>
      <c r="B4379" s="31" t="str">
        <f>[1]Source!F5444</f>
        <v>5.3-1102-25-2/1</v>
      </c>
      <c r="C4379" s="31" t="str">
        <f>[1]Source!G5444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379" s="32" t="str">
        <f>[1]Source!H5444</f>
        <v>м3</v>
      </c>
      <c r="E4379" s="4">
        <f>[1]Source!I5444</f>
        <v>-502</v>
      </c>
      <c r="F4379" s="33"/>
      <c r="G4379" s="34"/>
      <c r="H4379" s="4"/>
      <c r="I4379" s="4"/>
      <c r="J4379" s="33"/>
      <c r="K4379" s="33"/>
      <c r="M4379"/>
      <c r="N4379"/>
      <c r="O4379"/>
      <c r="P4379"/>
      <c r="Q4379"/>
      <c r="AB4379">
        <f>ROUND(([1]Source!BZ5444/100)*ROUND(([1]Source!AF5444*[1]Source!AV5444)*[1]Source!I5444, 2), 2)</f>
        <v>-7843.25</v>
      </c>
      <c r="AC4379">
        <f>[1]Source!X5444</f>
        <v>-7843.25</v>
      </c>
      <c r="AD4379">
        <f>ROUND(([1]Source!CA5444/100)*ROUND(([1]Source!AF5444*[1]Source!AV5444)*[1]Source!I5444, 2), 2)</f>
        <v>-1120.46</v>
      </c>
      <c r="AE4379">
        <f>[1]Source!Y5444</f>
        <v>-1120.46</v>
      </c>
      <c r="AF4379">
        <f>ROUND((175/100)*ROUND(([1]Source!AE5444*[1]Source!AV5444)*[1]Source!I5444, 2), 2)</f>
        <v>-31467.87</v>
      </c>
      <c r="AG4379">
        <f>ROUND((108/100)*ROUND([1]Source!CS5444*[1]Source!I5444, 2), 2)</f>
        <v>-19420.169999999998</v>
      </c>
    </row>
    <row r="4380" spans="1:33" ht="14.25" x14ac:dyDescent="0.2">
      <c r="A4380" s="31"/>
      <c r="B4380" s="31"/>
      <c r="C4380" s="31" t="s">
        <v>34</v>
      </c>
      <c r="D4380" s="32"/>
      <c r="E4380" s="4"/>
      <c r="F4380" s="33">
        <f>[1]Source!AO5444</f>
        <v>7.44</v>
      </c>
      <c r="G4380" s="34" t="str">
        <f>[1]Source!DG5444</f>
        <v>)*3</v>
      </c>
      <c r="H4380" s="4">
        <f>[1]Source!AV5444</f>
        <v>1</v>
      </c>
      <c r="I4380" s="4">
        <f>IF([1]Source!BA5444&lt;&gt; 0, [1]Source!BA5444, 1)</f>
        <v>1</v>
      </c>
      <c r="J4380" s="33">
        <f>[1]Source!S5444</f>
        <v>-11204.64</v>
      </c>
      <c r="K4380" s="33"/>
      <c r="M4380"/>
      <c r="N4380"/>
      <c r="O4380"/>
      <c r="P4380"/>
      <c r="Q4380"/>
    </row>
    <row r="4381" spans="1:33" ht="14.25" x14ac:dyDescent="0.2">
      <c r="A4381" s="31"/>
      <c r="B4381" s="31"/>
      <c r="C4381" s="31" t="s">
        <v>33</v>
      </c>
      <c r="D4381" s="32"/>
      <c r="E4381" s="4"/>
      <c r="F4381" s="33">
        <f>[1]Source!AM5444</f>
        <v>24.73</v>
      </c>
      <c r="G4381" s="34" t="str">
        <f>[1]Source!DE5444</f>
        <v>)*3</v>
      </c>
      <c r="H4381" s="4">
        <f>[1]Source!AV5444</f>
        <v>1</v>
      </c>
      <c r="I4381" s="4">
        <f>IF([1]Source!BB5444&lt;&gt; 0, [1]Source!BB5444, 1)</f>
        <v>1</v>
      </c>
      <c r="J4381" s="33">
        <f>[1]Source!Q5444</f>
        <v>-37243.379999999997</v>
      </c>
      <c r="K4381" s="33"/>
      <c r="M4381"/>
      <c r="N4381"/>
      <c r="O4381"/>
      <c r="P4381"/>
      <c r="Q4381"/>
    </row>
    <row r="4382" spans="1:33" ht="14.25" x14ac:dyDescent="0.2">
      <c r="A4382" s="31"/>
      <c r="B4382" s="31"/>
      <c r="C4382" s="31" t="s">
        <v>37</v>
      </c>
      <c r="D4382" s="32"/>
      <c r="E4382" s="4"/>
      <c r="F4382" s="33">
        <f>[1]Source!AN5444</f>
        <v>11.94</v>
      </c>
      <c r="G4382" s="34" t="str">
        <f>[1]Source!DF5444</f>
        <v>)*3</v>
      </c>
      <c r="H4382" s="4">
        <f>[1]Source!AV5444</f>
        <v>1</v>
      </c>
      <c r="I4382" s="4">
        <f>IF([1]Source!BS5444&lt;&gt; 0, [1]Source!BS5444, 1)</f>
        <v>1</v>
      </c>
      <c r="J4382" s="41">
        <f>[1]Source!R5444</f>
        <v>-17981.64</v>
      </c>
      <c r="K4382" s="33"/>
      <c r="M4382"/>
      <c r="N4382"/>
      <c r="O4382"/>
      <c r="P4382"/>
      <c r="Q4382"/>
    </row>
    <row r="4383" spans="1:33" ht="14.25" x14ac:dyDescent="0.2">
      <c r="A4383" s="31"/>
      <c r="B4383" s="31"/>
      <c r="C4383" s="31" t="s">
        <v>40</v>
      </c>
      <c r="D4383" s="32" t="s">
        <v>39</v>
      </c>
      <c r="E4383" s="4">
        <f>[1]Source!AT5444</f>
        <v>70</v>
      </c>
      <c r="F4383" s="33"/>
      <c r="G4383" s="34"/>
      <c r="H4383" s="4"/>
      <c r="I4383" s="4"/>
      <c r="J4383" s="33">
        <f>SUM(AC4379:AC4382)</f>
        <v>-7843.25</v>
      </c>
      <c r="K4383" s="33"/>
      <c r="M4383"/>
      <c r="N4383"/>
      <c r="O4383"/>
      <c r="P4383"/>
      <c r="Q4383"/>
    </row>
    <row r="4384" spans="1:33" ht="14.25" x14ac:dyDescent="0.2">
      <c r="A4384" s="31"/>
      <c r="B4384" s="31"/>
      <c r="C4384" s="31" t="s">
        <v>41</v>
      </c>
      <c r="D4384" s="32" t="s">
        <v>39</v>
      </c>
      <c r="E4384" s="4">
        <f>[1]Source!AU5444</f>
        <v>10</v>
      </c>
      <c r="F4384" s="33"/>
      <c r="G4384" s="34"/>
      <c r="H4384" s="4"/>
      <c r="I4384" s="4"/>
      <c r="J4384" s="33">
        <f>SUM(AE4379:AE4383)</f>
        <v>-1120.46</v>
      </c>
      <c r="K4384" s="33"/>
      <c r="M4384"/>
      <c r="N4384"/>
      <c r="O4384"/>
      <c r="P4384"/>
      <c r="Q4384"/>
    </row>
    <row r="4385" spans="1:33" ht="14.25" x14ac:dyDescent="0.2">
      <c r="A4385" s="31"/>
      <c r="B4385" s="31"/>
      <c r="C4385" s="31" t="s">
        <v>38</v>
      </c>
      <c r="D4385" s="32" t="s">
        <v>39</v>
      </c>
      <c r="E4385" s="4">
        <f>108</f>
        <v>108</v>
      </c>
      <c r="F4385" s="33"/>
      <c r="G4385" s="34"/>
      <c r="H4385" s="4"/>
      <c r="I4385" s="4"/>
      <c r="J4385" s="33">
        <f>SUM(AG4379:AG4384)</f>
        <v>-19420.169999999998</v>
      </c>
      <c r="K4385" s="33"/>
      <c r="M4385"/>
      <c r="N4385"/>
      <c r="O4385"/>
      <c r="P4385"/>
      <c r="Q4385"/>
    </row>
    <row r="4386" spans="1:33" ht="14.25" x14ac:dyDescent="0.2">
      <c r="A4386" s="31"/>
      <c r="B4386" s="31"/>
      <c r="C4386" s="31" t="s">
        <v>42</v>
      </c>
      <c r="D4386" s="32" t="s">
        <v>43</v>
      </c>
      <c r="E4386" s="4">
        <f>[1]Source!AQ5444</f>
        <v>0.03</v>
      </c>
      <c r="F4386" s="33"/>
      <c r="G4386" s="34" t="str">
        <f>[1]Source!DI5444</f>
        <v>)*3</v>
      </c>
      <c r="H4386" s="4">
        <f>[1]Source!AV5444</f>
        <v>1</v>
      </c>
      <c r="I4386" s="4"/>
      <c r="J4386" s="33"/>
      <c r="K4386" s="33">
        <f>[1]Source!U5444</f>
        <v>-45.18</v>
      </c>
      <c r="M4386"/>
      <c r="N4386"/>
      <c r="O4386"/>
      <c r="P4386"/>
      <c r="Q4386"/>
    </row>
    <row r="4387" spans="1:33" ht="15" x14ac:dyDescent="0.25">
      <c r="A4387" s="35"/>
      <c r="B4387" s="35"/>
      <c r="C4387" s="35"/>
      <c r="D4387" s="35"/>
      <c r="E4387" s="35"/>
      <c r="F4387" s="35"/>
      <c r="G4387" s="35"/>
      <c r="H4387" s="35"/>
      <c r="I4387" s="36">
        <f>J4380+J4381+J4383+J4384+J4385</f>
        <v>-76831.899999999994</v>
      </c>
      <c r="J4387" s="36"/>
      <c r="K4387" s="37">
        <f>IF([1]Source!I5444&lt;&gt;0, ROUND(I4387/[1]Source!I5444, 2), 0)</f>
        <v>153.05000000000001</v>
      </c>
      <c r="M4387"/>
      <c r="N4387"/>
      <c r="O4387"/>
      <c r="P4387"/>
      <c r="Q4387"/>
      <c r="AA4387" s="38">
        <f>I4387</f>
        <v>-76831.899999999994</v>
      </c>
    </row>
    <row r="4388" spans="1:33" ht="85.5" x14ac:dyDescent="0.2">
      <c r="A4388" s="31">
        <v>548</v>
      </c>
      <c r="B4388" s="31" t="str">
        <f>[1]Source!F5445</f>
        <v>5.3-1102-25-1/1</v>
      </c>
      <c r="C4388" s="31" t="str">
        <f>[1]Source!G5445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</c>
      <c r="D4388" s="32" t="str">
        <f>[1]Source!H5445</f>
        <v>м3</v>
      </c>
      <c r="E4388" s="4">
        <f>[1]Source!I5445</f>
        <v>502</v>
      </c>
      <c r="F4388" s="33"/>
      <c r="G4388" s="34"/>
      <c r="H4388" s="4"/>
      <c r="I4388" s="4"/>
      <c r="J4388" s="33"/>
      <c r="K4388" s="33"/>
      <c r="M4388"/>
      <c r="N4388"/>
      <c r="O4388"/>
      <c r="P4388"/>
      <c r="Q4388"/>
      <c r="AB4388">
        <f>ROUND(([1]Source!BZ5445/100)*ROUND(([1]Source!AF5445*[1]Source!AV5445)*[1]Source!I5445, 2), 2)</f>
        <v>32233.919999999998</v>
      </c>
      <c r="AC4388">
        <f>[1]Source!X5445</f>
        <v>32233.919999999998</v>
      </c>
      <c r="AD4388">
        <f>ROUND(([1]Source!CA5445/100)*ROUND(([1]Source!AF5445*[1]Source!AV5445)*[1]Source!I5445, 2), 2)</f>
        <v>4604.8500000000004</v>
      </c>
      <c r="AE4388">
        <f>[1]Source!Y5445</f>
        <v>4604.8500000000004</v>
      </c>
      <c r="AF4388">
        <f>ROUND((175/100)*ROUND(([1]Source!AE5445*[1]Source!AV5445)*[1]Source!I5445, 2), 2)</f>
        <v>162135.96</v>
      </c>
      <c r="AG4388">
        <f>ROUND((108/100)*ROUND([1]Source!CS5445*[1]Source!I5445, 2), 2)</f>
        <v>100061.05</v>
      </c>
    </row>
    <row r="4389" spans="1:33" ht="14.25" x14ac:dyDescent="0.2">
      <c r="A4389" s="31"/>
      <c r="B4389" s="31"/>
      <c r="C4389" s="31" t="s">
        <v>34</v>
      </c>
      <c r="D4389" s="32"/>
      <c r="E4389" s="4"/>
      <c r="F4389" s="33">
        <f>[1]Source!AO5445</f>
        <v>91.73</v>
      </c>
      <c r="G4389" s="34" t="str">
        <f>[1]Source!DG5445</f>
        <v>)*1</v>
      </c>
      <c r="H4389" s="4">
        <f>[1]Source!AV5445</f>
        <v>1</v>
      </c>
      <c r="I4389" s="4">
        <f>IF([1]Source!BA5445&lt;&gt; 0, [1]Source!BA5445, 1)</f>
        <v>1</v>
      </c>
      <c r="J4389" s="33">
        <f>[1]Source!S5445</f>
        <v>46048.46</v>
      </c>
      <c r="K4389" s="33"/>
      <c r="M4389"/>
      <c r="N4389"/>
      <c r="O4389"/>
      <c r="P4389"/>
      <c r="Q4389"/>
    </row>
    <row r="4390" spans="1:33" ht="14.25" x14ac:dyDescent="0.2">
      <c r="A4390" s="31"/>
      <c r="B4390" s="31"/>
      <c r="C4390" s="31" t="s">
        <v>33</v>
      </c>
      <c r="D4390" s="32"/>
      <c r="E4390" s="4"/>
      <c r="F4390" s="33">
        <f>[1]Source!AM5445</f>
        <v>382.15</v>
      </c>
      <c r="G4390" s="34" t="str">
        <f>[1]Source!DE5445</f>
        <v>)*1</v>
      </c>
      <c r="H4390" s="4">
        <f>[1]Source!AV5445</f>
        <v>1</v>
      </c>
      <c r="I4390" s="4">
        <f>IF([1]Source!BB5445&lt;&gt; 0, [1]Source!BB5445, 1)</f>
        <v>1</v>
      </c>
      <c r="J4390" s="33">
        <f>[1]Source!Q5445</f>
        <v>191839.3</v>
      </c>
      <c r="K4390" s="33"/>
      <c r="M4390"/>
      <c r="N4390"/>
      <c r="O4390"/>
      <c r="P4390"/>
      <c r="Q4390"/>
    </row>
    <row r="4391" spans="1:33" ht="14.25" x14ac:dyDescent="0.2">
      <c r="A4391" s="31"/>
      <c r="B4391" s="31"/>
      <c r="C4391" s="31" t="s">
        <v>37</v>
      </c>
      <c r="D4391" s="32"/>
      <c r="E4391" s="4"/>
      <c r="F4391" s="33">
        <f>[1]Source!AN5445</f>
        <v>184.56</v>
      </c>
      <c r="G4391" s="34" t="str">
        <f>[1]Source!DF5445</f>
        <v>)*1</v>
      </c>
      <c r="H4391" s="4">
        <f>[1]Source!AV5445</f>
        <v>1</v>
      </c>
      <c r="I4391" s="4">
        <f>IF([1]Source!BS5445&lt;&gt; 0, [1]Source!BS5445, 1)</f>
        <v>1</v>
      </c>
      <c r="J4391" s="41">
        <f>[1]Source!R5445</f>
        <v>92649.12</v>
      </c>
      <c r="K4391" s="33"/>
      <c r="M4391"/>
      <c r="N4391"/>
      <c r="O4391"/>
      <c r="P4391"/>
      <c r="Q4391"/>
    </row>
    <row r="4392" spans="1:33" ht="14.25" x14ac:dyDescent="0.2">
      <c r="A4392" s="31"/>
      <c r="B4392" s="31"/>
      <c r="C4392" s="31" t="s">
        <v>40</v>
      </c>
      <c r="D4392" s="32" t="s">
        <v>39</v>
      </c>
      <c r="E4392" s="4">
        <f>[1]Source!AT5445</f>
        <v>70</v>
      </c>
      <c r="F4392" s="33"/>
      <c r="G4392" s="34"/>
      <c r="H4392" s="4"/>
      <c r="I4392" s="4"/>
      <c r="J4392" s="33">
        <f>SUM(AC4388:AC4391)</f>
        <v>32233.919999999998</v>
      </c>
      <c r="K4392" s="33"/>
      <c r="M4392"/>
      <c r="N4392"/>
      <c r="O4392"/>
      <c r="P4392"/>
      <c r="Q4392"/>
    </row>
    <row r="4393" spans="1:33" ht="14.25" x14ac:dyDescent="0.2">
      <c r="A4393" s="31"/>
      <c r="B4393" s="31"/>
      <c r="C4393" s="31" t="s">
        <v>41</v>
      </c>
      <c r="D4393" s="32" t="s">
        <v>39</v>
      </c>
      <c r="E4393" s="4">
        <f>[1]Source!AU5445</f>
        <v>10</v>
      </c>
      <c r="F4393" s="33"/>
      <c r="G4393" s="34"/>
      <c r="H4393" s="4"/>
      <c r="I4393" s="4"/>
      <c r="J4393" s="33">
        <f>SUM(AE4388:AE4392)</f>
        <v>4604.8500000000004</v>
      </c>
      <c r="K4393" s="33"/>
      <c r="M4393"/>
      <c r="N4393"/>
      <c r="O4393"/>
      <c r="P4393"/>
      <c r="Q4393"/>
    </row>
    <row r="4394" spans="1:33" ht="14.25" x14ac:dyDescent="0.2">
      <c r="A4394" s="31"/>
      <c r="B4394" s="31"/>
      <c r="C4394" s="31" t="s">
        <v>38</v>
      </c>
      <c r="D4394" s="32" t="s">
        <v>39</v>
      </c>
      <c r="E4394" s="4">
        <f>108</f>
        <v>108</v>
      </c>
      <c r="F4394" s="33"/>
      <c r="G4394" s="34"/>
      <c r="H4394" s="4"/>
      <c r="I4394" s="4"/>
      <c r="J4394" s="33">
        <f>SUM(AG4388:AG4393)</f>
        <v>100061.05</v>
      </c>
      <c r="K4394" s="33"/>
      <c r="M4394"/>
      <c r="N4394"/>
      <c r="O4394"/>
      <c r="P4394"/>
      <c r="Q4394"/>
    </row>
    <row r="4395" spans="1:33" ht="14.25" x14ac:dyDescent="0.2">
      <c r="A4395" s="31"/>
      <c r="B4395" s="31"/>
      <c r="C4395" s="31" t="s">
        <v>42</v>
      </c>
      <c r="D4395" s="32" t="s">
        <v>43</v>
      </c>
      <c r="E4395" s="4">
        <f>[1]Source!AQ5445</f>
        <v>0.37</v>
      </c>
      <c r="F4395" s="33"/>
      <c r="G4395" s="34" t="str">
        <f>[1]Source!DI5445</f>
        <v>)*1</v>
      </c>
      <c r="H4395" s="4">
        <f>[1]Source!AV5445</f>
        <v>1</v>
      </c>
      <c r="I4395" s="4"/>
      <c r="J4395" s="33"/>
      <c r="K4395" s="33">
        <f>[1]Source!U5445</f>
        <v>185.74</v>
      </c>
      <c r="M4395"/>
      <c r="N4395"/>
      <c r="O4395"/>
      <c r="P4395"/>
      <c r="Q4395"/>
    </row>
    <row r="4396" spans="1:33" ht="15" x14ac:dyDescent="0.25">
      <c r="A4396" s="35"/>
      <c r="B4396" s="35"/>
      <c r="C4396" s="35"/>
      <c r="D4396" s="35"/>
      <c r="E4396" s="35"/>
      <c r="F4396" s="35"/>
      <c r="G4396" s="35"/>
      <c r="H4396" s="35"/>
      <c r="I4396" s="36">
        <f>J4389+J4390+J4392+J4393+J4394</f>
        <v>374787.57999999996</v>
      </c>
      <c r="J4396" s="36"/>
      <c r="K4396" s="37">
        <f>IF([1]Source!I5445&lt;&gt;0, ROUND(I4396/[1]Source!I5445, 2), 0)</f>
        <v>746.59</v>
      </c>
      <c r="M4396"/>
      <c r="N4396"/>
      <c r="O4396"/>
      <c r="P4396"/>
      <c r="Q4396"/>
      <c r="AA4396" s="38">
        <f>I4396</f>
        <v>374787.57999999996</v>
      </c>
    </row>
    <row r="4397" spans="1:33" ht="85.5" x14ac:dyDescent="0.2">
      <c r="A4397" s="31">
        <v>549</v>
      </c>
      <c r="B4397" s="31" t="str">
        <f>[1]Source!F5446</f>
        <v>5.3-1102-25-2/1</v>
      </c>
      <c r="C4397" s="31" t="str">
        <f>[1]Source!G5446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397" s="32" t="str">
        <f>[1]Source!H5446</f>
        <v>м3</v>
      </c>
      <c r="E4397" s="4">
        <f>[1]Source!I5446</f>
        <v>-502</v>
      </c>
      <c r="F4397" s="33"/>
      <c r="G4397" s="34"/>
      <c r="H4397" s="4"/>
      <c r="I4397" s="4"/>
      <c r="J4397" s="33"/>
      <c r="K4397" s="33"/>
      <c r="M4397"/>
      <c r="N4397"/>
      <c r="O4397"/>
      <c r="P4397"/>
      <c r="Q4397"/>
      <c r="AB4397">
        <f>ROUND(([1]Source!BZ5446/100)*ROUND(([1]Source!AF5446*[1]Source!AV5446)*[1]Source!I5446, 2), 2)</f>
        <v>-5228.83</v>
      </c>
      <c r="AC4397">
        <f>[1]Source!X5446</f>
        <v>-5228.83</v>
      </c>
      <c r="AD4397">
        <f>ROUND(([1]Source!CA5446/100)*ROUND(([1]Source!AF5446*[1]Source!AV5446)*[1]Source!I5446, 2), 2)</f>
        <v>-746.98</v>
      </c>
      <c r="AE4397">
        <f>[1]Source!Y5446</f>
        <v>-746.98</v>
      </c>
      <c r="AF4397">
        <f>ROUND((175/100)*ROUND(([1]Source!AE5446*[1]Source!AV5446)*[1]Source!I5446, 2), 2)</f>
        <v>-20978.58</v>
      </c>
      <c r="AG4397">
        <f>ROUND((108/100)*ROUND([1]Source!CS5446*[1]Source!I5446, 2), 2)</f>
        <v>-12946.78</v>
      </c>
    </row>
    <row r="4398" spans="1:33" ht="14.25" x14ac:dyDescent="0.2">
      <c r="A4398" s="31"/>
      <c r="B4398" s="31"/>
      <c r="C4398" s="31" t="s">
        <v>34</v>
      </c>
      <c r="D4398" s="32"/>
      <c r="E4398" s="4"/>
      <c r="F4398" s="33">
        <f>[1]Source!AO5446</f>
        <v>7.44</v>
      </c>
      <c r="G4398" s="34" t="str">
        <f>[1]Source!DG5446</f>
        <v>)*2</v>
      </c>
      <c r="H4398" s="4">
        <f>[1]Source!AV5446</f>
        <v>1</v>
      </c>
      <c r="I4398" s="4">
        <f>IF([1]Source!BA5446&lt;&gt; 0, [1]Source!BA5446, 1)</f>
        <v>1</v>
      </c>
      <c r="J4398" s="33">
        <f>[1]Source!S5446</f>
        <v>-7469.76</v>
      </c>
      <c r="K4398" s="33"/>
      <c r="M4398"/>
      <c r="N4398"/>
      <c r="O4398"/>
      <c r="P4398"/>
      <c r="Q4398"/>
    </row>
    <row r="4399" spans="1:33" ht="14.25" x14ac:dyDescent="0.2">
      <c r="A4399" s="31"/>
      <c r="B4399" s="31"/>
      <c r="C4399" s="31" t="s">
        <v>33</v>
      </c>
      <c r="D4399" s="32"/>
      <c r="E4399" s="4"/>
      <c r="F4399" s="33">
        <f>[1]Source!AM5446</f>
        <v>24.73</v>
      </c>
      <c r="G4399" s="34" t="str">
        <f>[1]Source!DE5446</f>
        <v>)*2</v>
      </c>
      <c r="H4399" s="4">
        <f>[1]Source!AV5446</f>
        <v>1</v>
      </c>
      <c r="I4399" s="4">
        <f>IF([1]Source!BB5446&lt;&gt; 0, [1]Source!BB5446, 1)</f>
        <v>1</v>
      </c>
      <c r="J4399" s="33">
        <f>[1]Source!Q5446</f>
        <v>-24828.92</v>
      </c>
      <c r="K4399" s="33"/>
      <c r="M4399"/>
      <c r="N4399"/>
      <c r="O4399"/>
      <c r="P4399"/>
      <c r="Q4399"/>
    </row>
    <row r="4400" spans="1:33" ht="14.25" x14ac:dyDescent="0.2">
      <c r="A4400" s="31"/>
      <c r="B4400" s="31"/>
      <c r="C4400" s="31" t="s">
        <v>37</v>
      </c>
      <c r="D4400" s="32"/>
      <c r="E4400" s="4"/>
      <c r="F4400" s="33">
        <f>[1]Source!AN5446</f>
        <v>11.94</v>
      </c>
      <c r="G4400" s="34" t="str">
        <f>[1]Source!DF5446</f>
        <v>)*2</v>
      </c>
      <c r="H4400" s="4">
        <f>[1]Source!AV5446</f>
        <v>1</v>
      </c>
      <c r="I4400" s="4">
        <f>IF([1]Source!BS5446&lt;&gt; 0, [1]Source!BS5446, 1)</f>
        <v>1</v>
      </c>
      <c r="J4400" s="41">
        <f>[1]Source!R5446</f>
        <v>-11987.76</v>
      </c>
      <c r="K4400" s="33"/>
      <c r="M4400"/>
      <c r="N4400"/>
      <c r="O4400"/>
      <c r="P4400"/>
      <c r="Q4400"/>
    </row>
    <row r="4401" spans="1:33" ht="14.25" x14ac:dyDescent="0.2">
      <c r="A4401" s="31"/>
      <c r="B4401" s="31"/>
      <c r="C4401" s="31" t="s">
        <v>40</v>
      </c>
      <c r="D4401" s="32" t="s">
        <v>39</v>
      </c>
      <c r="E4401" s="4">
        <f>[1]Source!AT5446</f>
        <v>70</v>
      </c>
      <c r="F4401" s="33"/>
      <c r="G4401" s="34"/>
      <c r="H4401" s="4"/>
      <c r="I4401" s="4"/>
      <c r="J4401" s="33">
        <f>SUM(AC4397:AC4400)</f>
        <v>-5228.83</v>
      </c>
      <c r="K4401" s="33"/>
      <c r="M4401"/>
      <c r="N4401"/>
      <c r="O4401"/>
      <c r="P4401"/>
      <c r="Q4401"/>
    </row>
    <row r="4402" spans="1:33" ht="14.25" x14ac:dyDescent="0.2">
      <c r="A4402" s="31"/>
      <c r="B4402" s="31"/>
      <c r="C4402" s="31" t="s">
        <v>41</v>
      </c>
      <c r="D4402" s="32" t="s">
        <v>39</v>
      </c>
      <c r="E4402" s="4">
        <f>[1]Source!AU5446</f>
        <v>10</v>
      </c>
      <c r="F4402" s="33"/>
      <c r="G4402" s="34"/>
      <c r="H4402" s="4"/>
      <c r="I4402" s="4"/>
      <c r="J4402" s="33">
        <f>SUM(AE4397:AE4401)</f>
        <v>-746.98</v>
      </c>
      <c r="K4402" s="33"/>
      <c r="M4402"/>
      <c r="N4402"/>
      <c r="O4402"/>
      <c r="P4402"/>
      <c r="Q4402"/>
    </row>
    <row r="4403" spans="1:33" ht="14.25" x14ac:dyDescent="0.2">
      <c r="A4403" s="31"/>
      <c r="B4403" s="31"/>
      <c r="C4403" s="31" t="s">
        <v>38</v>
      </c>
      <c r="D4403" s="32" t="s">
        <v>39</v>
      </c>
      <c r="E4403" s="4">
        <f>108</f>
        <v>108</v>
      </c>
      <c r="F4403" s="33"/>
      <c r="G4403" s="34"/>
      <c r="H4403" s="4"/>
      <c r="I4403" s="4"/>
      <c r="J4403" s="33">
        <f>SUM(AG4397:AG4402)</f>
        <v>-12946.78</v>
      </c>
      <c r="K4403" s="33"/>
      <c r="M4403"/>
      <c r="N4403"/>
      <c r="O4403"/>
      <c r="P4403"/>
      <c r="Q4403"/>
    </row>
    <row r="4404" spans="1:33" ht="14.25" x14ac:dyDescent="0.2">
      <c r="A4404" s="31"/>
      <c r="B4404" s="31"/>
      <c r="C4404" s="31" t="s">
        <v>42</v>
      </c>
      <c r="D4404" s="32" t="s">
        <v>43</v>
      </c>
      <c r="E4404" s="4">
        <f>[1]Source!AQ5446</f>
        <v>0.03</v>
      </c>
      <c r="F4404" s="33"/>
      <c r="G4404" s="34" t="str">
        <f>[1]Source!DI5446</f>
        <v>)*2</v>
      </c>
      <c r="H4404" s="4">
        <f>[1]Source!AV5446</f>
        <v>1</v>
      </c>
      <c r="I4404" s="4"/>
      <c r="J4404" s="33"/>
      <c r="K4404" s="33">
        <f>[1]Source!U5446</f>
        <v>-30.119999999999997</v>
      </c>
      <c r="M4404"/>
      <c r="N4404"/>
      <c r="O4404"/>
      <c r="P4404"/>
      <c r="Q4404"/>
    </row>
    <row r="4405" spans="1:33" ht="15" x14ac:dyDescent="0.25">
      <c r="A4405" s="35"/>
      <c r="B4405" s="35"/>
      <c r="C4405" s="35"/>
      <c r="D4405" s="35"/>
      <c r="E4405" s="35"/>
      <c r="F4405" s="35"/>
      <c r="G4405" s="35"/>
      <c r="H4405" s="35"/>
      <c r="I4405" s="36">
        <f>J4398+J4399+J4401+J4402+J4403</f>
        <v>-51221.270000000004</v>
      </c>
      <c r="J4405" s="36"/>
      <c r="K4405" s="37">
        <f>IF([1]Source!I5446&lt;&gt;0, ROUND(I4405/[1]Source!I5446, 2), 0)</f>
        <v>102.03</v>
      </c>
      <c r="M4405"/>
      <c r="N4405"/>
      <c r="O4405"/>
      <c r="P4405"/>
      <c r="Q4405"/>
      <c r="AA4405" s="38">
        <f>I4405</f>
        <v>-51221.270000000004</v>
      </c>
    </row>
    <row r="4406" spans="1:33" ht="85.5" x14ac:dyDescent="0.2">
      <c r="A4406" s="31">
        <v>550</v>
      </c>
      <c r="B4406" s="31" t="str">
        <f>[1]Source!F5447</f>
        <v>5.3-1102-25-1/1</v>
      </c>
      <c r="C4406" s="31" t="str">
        <f>[1]Source!G5447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</c>
      <c r="D4406" s="32" t="str">
        <f>[1]Source!H5447</f>
        <v>м3</v>
      </c>
      <c r="E4406" s="4">
        <f>[1]Source!I5447</f>
        <v>502</v>
      </c>
      <c r="F4406" s="33"/>
      <c r="G4406" s="34"/>
      <c r="H4406" s="4"/>
      <c r="I4406" s="4"/>
      <c r="J4406" s="33"/>
      <c r="K4406" s="33"/>
      <c r="M4406"/>
      <c r="N4406"/>
      <c r="O4406"/>
      <c r="P4406"/>
      <c r="Q4406"/>
      <c r="AB4406">
        <f>ROUND(([1]Source!BZ5447/100)*ROUND(([1]Source!AF5447*[1]Source!AV5447)*[1]Source!I5447, 2), 2)</f>
        <v>32233.919999999998</v>
      </c>
      <c r="AC4406">
        <f>[1]Source!X5447</f>
        <v>32233.919999999998</v>
      </c>
      <c r="AD4406">
        <f>ROUND(([1]Source!CA5447/100)*ROUND(([1]Source!AF5447*[1]Source!AV5447)*[1]Source!I5447, 2), 2)</f>
        <v>4604.8500000000004</v>
      </c>
      <c r="AE4406">
        <f>[1]Source!Y5447</f>
        <v>4604.8500000000004</v>
      </c>
      <c r="AF4406">
        <f>ROUND((175/100)*ROUND(([1]Source!AE5447*[1]Source!AV5447)*[1]Source!I5447, 2), 2)</f>
        <v>162135.96</v>
      </c>
      <c r="AG4406">
        <f>ROUND((108/100)*ROUND([1]Source!CS5447*[1]Source!I5447, 2), 2)</f>
        <v>100061.05</v>
      </c>
    </row>
    <row r="4407" spans="1:33" ht="14.25" x14ac:dyDescent="0.2">
      <c r="A4407" s="31"/>
      <c r="B4407" s="31"/>
      <c r="C4407" s="31" t="s">
        <v>34</v>
      </c>
      <c r="D4407" s="32"/>
      <c r="E4407" s="4"/>
      <c r="F4407" s="33">
        <f>[1]Source!AO5447</f>
        <v>91.73</v>
      </c>
      <c r="G4407" s="34" t="str">
        <f>[1]Source!DG5447</f>
        <v>)*1</v>
      </c>
      <c r="H4407" s="4">
        <f>[1]Source!AV5447</f>
        <v>1</v>
      </c>
      <c r="I4407" s="4">
        <f>IF([1]Source!BA5447&lt;&gt; 0, [1]Source!BA5447, 1)</f>
        <v>1</v>
      </c>
      <c r="J4407" s="33">
        <f>[1]Source!S5447</f>
        <v>46048.46</v>
      </c>
      <c r="K4407" s="33"/>
      <c r="M4407"/>
      <c r="N4407"/>
      <c r="O4407"/>
      <c r="P4407"/>
      <c r="Q4407"/>
    </row>
    <row r="4408" spans="1:33" ht="14.25" x14ac:dyDescent="0.2">
      <c r="A4408" s="31"/>
      <c r="B4408" s="31"/>
      <c r="C4408" s="31" t="s">
        <v>33</v>
      </c>
      <c r="D4408" s="32"/>
      <c r="E4408" s="4"/>
      <c r="F4408" s="33">
        <f>[1]Source!AM5447</f>
        <v>382.15</v>
      </c>
      <c r="G4408" s="34" t="str">
        <f>[1]Source!DE5447</f>
        <v>)*1</v>
      </c>
      <c r="H4408" s="4">
        <f>[1]Source!AV5447</f>
        <v>1</v>
      </c>
      <c r="I4408" s="4">
        <f>IF([1]Source!BB5447&lt;&gt; 0, [1]Source!BB5447, 1)</f>
        <v>1</v>
      </c>
      <c r="J4408" s="33">
        <f>[1]Source!Q5447</f>
        <v>191839.3</v>
      </c>
      <c r="K4408" s="33"/>
      <c r="M4408"/>
      <c r="N4408"/>
      <c r="O4408"/>
      <c r="P4408"/>
      <c r="Q4408"/>
    </row>
    <row r="4409" spans="1:33" ht="14.25" x14ac:dyDescent="0.2">
      <c r="A4409" s="31"/>
      <c r="B4409" s="31"/>
      <c r="C4409" s="31" t="s">
        <v>37</v>
      </c>
      <c r="D4409" s="32"/>
      <c r="E4409" s="4"/>
      <c r="F4409" s="33">
        <f>[1]Source!AN5447</f>
        <v>184.56</v>
      </c>
      <c r="G4409" s="34" t="str">
        <f>[1]Source!DF5447</f>
        <v>)*1</v>
      </c>
      <c r="H4409" s="4">
        <f>[1]Source!AV5447</f>
        <v>1</v>
      </c>
      <c r="I4409" s="4">
        <f>IF([1]Source!BS5447&lt;&gt; 0, [1]Source!BS5447, 1)</f>
        <v>1</v>
      </c>
      <c r="J4409" s="41">
        <f>[1]Source!R5447</f>
        <v>92649.12</v>
      </c>
      <c r="K4409" s="33"/>
      <c r="M4409"/>
      <c r="N4409"/>
      <c r="O4409"/>
      <c r="P4409"/>
      <c r="Q4409"/>
    </row>
    <row r="4410" spans="1:33" ht="14.25" x14ac:dyDescent="0.2">
      <c r="A4410" s="31"/>
      <c r="B4410" s="31"/>
      <c r="C4410" s="31" t="s">
        <v>40</v>
      </c>
      <c r="D4410" s="32" t="s">
        <v>39</v>
      </c>
      <c r="E4410" s="4">
        <f>[1]Source!AT5447</f>
        <v>70</v>
      </c>
      <c r="F4410" s="33"/>
      <c r="G4410" s="34"/>
      <c r="H4410" s="4"/>
      <c r="I4410" s="4"/>
      <c r="J4410" s="33">
        <f>SUM(AC4406:AC4409)</f>
        <v>32233.919999999998</v>
      </c>
      <c r="K4410" s="33"/>
      <c r="M4410"/>
      <c r="N4410"/>
      <c r="O4410"/>
      <c r="P4410"/>
      <c r="Q4410"/>
    </row>
    <row r="4411" spans="1:33" ht="14.25" x14ac:dyDescent="0.2">
      <c r="A4411" s="31"/>
      <c r="B4411" s="31"/>
      <c r="C4411" s="31" t="s">
        <v>41</v>
      </c>
      <c r="D4411" s="32" t="s">
        <v>39</v>
      </c>
      <c r="E4411" s="4">
        <f>[1]Source!AU5447</f>
        <v>10</v>
      </c>
      <c r="F4411" s="33"/>
      <c r="G4411" s="34"/>
      <c r="H4411" s="4"/>
      <c r="I4411" s="4"/>
      <c r="J4411" s="33">
        <f>SUM(AE4406:AE4410)</f>
        <v>4604.8500000000004</v>
      </c>
      <c r="K4411" s="33"/>
      <c r="M4411"/>
      <c r="N4411"/>
      <c r="O4411"/>
      <c r="P4411"/>
      <c r="Q4411"/>
    </row>
    <row r="4412" spans="1:33" ht="14.25" x14ac:dyDescent="0.2">
      <c r="A4412" s="31"/>
      <c r="B4412" s="31"/>
      <c r="C4412" s="31" t="s">
        <v>38</v>
      </c>
      <c r="D4412" s="32" t="s">
        <v>39</v>
      </c>
      <c r="E4412" s="4">
        <f>108</f>
        <v>108</v>
      </c>
      <c r="F4412" s="33"/>
      <c r="G4412" s="34"/>
      <c r="H4412" s="4"/>
      <c r="I4412" s="4"/>
      <c r="J4412" s="33">
        <f>SUM(AG4406:AG4411)</f>
        <v>100061.05</v>
      </c>
      <c r="K4412" s="33"/>
      <c r="M4412"/>
      <c r="N4412"/>
      <c r="O4412"/>
      <c r="P4412"/>
      <c r="Q4412"/>
    </row>
    <row r="4413" spans="1:33" ht="14.25" x14ac:dyDescent="0.2">
      <c r="A4413" s="31"/>
      <c r="B4413" s="31"/>
      <c r="C4413" s="31" t="s">
        <v>42</v>
      </c>
      <c r="D4413" s="32" t="s">
        <v>43</v>
      </c>
      <c r="E4413" s="4">
        <f>[1]Source!AQ5447</f>
        <v>0.37</v>
      </c>
      <c r="F4413" s="33"/>
      <c r="G4413" s="34" t="str">
        <f>[1]Source!DI5447</f>
        <v>)*1</v>
      </c>
      <c r="H4413" s="4">
        <f>[1]Source!AV5447</f>
        <v>1</v>
      </c>
      <c r="I4413" s="4"/>
      <c r="J4413" s="33"/>
      <c r="K4413" s="33">
        <f>[1]Source!U5447</f>
        <v>185.74</v>
      </c>
      <c r="M4413"/>
      <c r="N4413"/>
      <c r="O4413"/>
      <c r="P4413"/>
      <c r="Q4413"/>
    </row>
    <row r="4414" spans="1:33" ht="15" x14ac:dyDescent="0.25">
      <c r="A4414" s="35"/>
      <c r="B4414" s="35"/>
      <c r="C4414" s="35"/>
      <c r="D4414" s="35"/>
      <c r="E4414" s="35"/>
      <c r="F4414" s="35"/>
      <c r="G4414" s="35"/>
      <c r="H4414" s="35"/>
      <c r="I4414" s="36">
        <f>J4407+J4408+J4410+J4411+J4412</f>
        <v>374787.57999999996</v>
      </c>
      <c r="J4414" s="36"/>
      <c r="K4414" s="37">
        <f>IF([1]Source!I5447&lt;&gt;0, ROUND(I4414/[1]Source!I5447, 2), 0)</f>
        <v>746.59</v>
      </c>
      <c r="M4414"/>
      <c r="N4414"/>
      <c r="O4414"/>
      <c r="P4414"/>
      <c r="Q4414"/>
      <c r="AA4414" s="38">
        <f>I4414</f>
        <v>374787.57999999996</v>
      </c>
    </row>
    <row r="4415" spans="1:33" ht="85.5" x14ac:dyDescent="0.2">
      <c r="A4415" s="31">
        <v>551</v>
      </c>
      <c r="B4415" s="31" t="str">
        <f>[1]Source!F5448</f>
        <v>5.3-1102-25-2/1</v>
      </c>
      <c r="C4415" s="31" t="str">
        <f>[1]Source!G5448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415" s="32" t="str">
        <f>[1]Source!H5448</f>
        <v>м3</v>
      </c>
      <c r="E4415" s="4">
        <f>[1]Source!I5448</f>
        <v>-502</v>
      </c>
      <c r="F4415" s="33"/>
      <c r="G4415" s="34"/>
      <c r="H4415" s="4"/>
      <c r="I4415" s="4"/>
      <c r="J4415" s="33"/>
      <c r="K4415" s="33"/>
      <c r="M4415"/>
      <c r="N4415"/>
      <c r="O4415"/>
      <c r="P4415"/>
      <c r="Q4415"/>
      <c r="AB4415">
        <f>ROUND(([1]Source!BZ5448/100)*ROUND(([1]Source!AF5448*[1]Source!AV5448)*[1]Source!I5448, 2), 2)</f>
        <v>-2614.42</v>
      </c>
      <c r="AC4415">
        <f>[1]Source!X5448</f>
        <v>-2614.42</v>
      </c>
      <c r="AD4415">
        <f>ROUND(([1]Source!CA5448/100)*ROUND(([1]Source!AF5448*[1]Source!AV5448)*[1]Source!I5448, 2), 2)</f>
        <v>-373.49</v>
      </c>
      <c r="AE4415">
        <f>[1]Source!Y5448</f>
        <v>-373.49</v>
      </c>
      <c r="AF4415">
        <f>ROUND((175/100)*ROUND(([1]Source!AE5448*[1]Source!AV5448)*[1]Source!I5448, 2), 2)</f>
        <v>-10489.29</v>
      </c>
      <c r="AG4415">
        <f>ROUND((108/100)*ROUND([1]Source!CS5448*[1]Source!I5448, 2), 2)</f>
        <v>-6473.39</v>
      </c>
    </row>
    <row r="4416" spans="1:33" ht="14.25" x14ac:dyDescent="0.2">
      <c r="A4416" s="31"/>
      <c r="B4416" s="31"/>
      <c r="C4416" s="31" t="s">
        <v>34</v>
      </c>
      <c r="D4416" s="32"/>
      <c r="E4416" s="4"/>
      <c r="F4416" s="33">
        <f>[1]Source!AO5448</f>
        <v>7.44</v>
      </c>
      <c r="G4416" s="34" t="str">
        <f>[1]Source!DG5448</f>
        <v>)*1</v>
      </c>
      <c r="H4416" s="4">
        <f>[1]Source!AV5448</f>
        <v>1</v>
      </c>
      <c r="I4416" s="4">
        <f>IF([1]Source!BA5448&lt;&gt; 0, [1]Source!BA5448, 1)</f>
        <v>1</v>
      </c>
      <c r="J4416" s="33">
        <f>[1]Source!S5448</f>
        <v>-3734.88</v>
      </c>
      <c r="K4416" s="33"/>
      <c r="M4416"/>
      <c r="N4416"/>
      <c r="O4416"/>
      <c r="P4416"/>
      <c r="Q4416"/>
    </row>
    <row r="4417" spans="1:43" ht="14.25" x14ac:dyDescent="0.2">
      <c r="A4417" s="31"/>
      <c r="B4417" s="31"/>
      <c r="C4417" s="31" t="s">
        <v>33</v>
      </c>
      <c r="D4417" s="32"/>
      <c r="E4417" s="4"/>
      <c r="F4417" s="33">
        <f>[1]Source!AM5448</f>
        <v>24.73</v>
      </c>
      <c r="G4417" s="34" t="str">
        <f>[1]Source!DE5448</f>
        <v>)*1</v>
      </c>
      <c r="H4417" s="4">
        <f>[1]Source!AV5448</f>
        <v>1</v>
      </c>
      <c r="I4417" s="4">
        <f>IF([1]Source!BB5448&lt;&gt; 0, [1]Source!BB5448, 1)</f>
        <v>1</v>
      </c>
      <c r="J4417" s="33">
        <f>[1]Source!Q5448</f>
        <v>-12414.46</v>
      </c>
      <c r="K4417" s="33"/>
      <c r="M4417"/>
      <c r="N4417"/>
      <c r="O4417"/>
      <c r="P4417"/>
      <c r="Q4417"/>
    </row>
    <row r="4418" spans="1:43" ht="14.25" x14ac:dyDescent="0.2">
      <c r="A4418" s="31"/>
      <c r="B4418" s="31"/>
      <c r="C4418" s="31" t="s">
        <v>37</v>
      </c>
      <c r="D4418" s="32"/>
      <c r="E4418" s="4"/>
      <c r="F4418" s="33">
        <f>[1]Source!AN5448</f>
        <v>11.94</v>
      </c>
      <c r="G4418" s="34" t="str">
        <f>[1]Source!DF5448</f>
        <v>)*1</v>
      </c>
      <c r="H4418" s="4">
        <f>[1]Source!AV5448</f>
        <v>1</v>
      </c>
      <c r="I4418" s="4">
        <f>IF([1]Source!BS5448&lt;&gt; 0, [1]Source!BS5448, 1)</f>
        <v>1</v>
      </c>
      <c r="J4418" s="41">
        <f>[1]Source!R5448</f>
        <v>-5993.88</v>
      </c>
      <c r="K4418" s="33"/>
      <c r="M4418"/>
      <c r="N4418"/>
      <c r="O4418"/>
      <c r="P4418"/>
      <c r="Q4418"/>
    </row>
    <row r="4419" spans="1:43" ht="14.25" x14ac:dyDescent="0.2">
      <c r="A4419" s="31"/>
      <c r="B4419" s="31"/>
      <c r="C4419" s="31" t="s">
        <v>40</v>
      </c>
      <c r="D4419" s="32" t="s">
        <v>39</v>
      </c>
      <c r="E4419" s="4">
        <f>[1]Source!AT5448</f>
        <v>70</v>
      </c>
      <c r="F4419" s="33"/>
      <c r="G4419" s="34"/>
      <c r="H4419" s="4"/>
      <c r="I4419" s="4"/>
      <c r="J4419" s="33">
        <f>SUM(AC4415:AC4418)</f>
        <v>-2614.42</v>
      </c>
      <c r="K4419" s="33"/>
      <c r="M4419"/>
      <c r="N4419"/>
      <c r="O4419"/>
      <c r="P4419"/>
      <c r="Q4419"/>
    </row>
    <row r="4420" spans="1:43" ht="14.25" x14ac:dyDescent="0.2">
      <c r="A4420" s="31"/>
      <c r="B4420" s="31"/>
      <c r="C4420" s="31" t="s">
        <v>41</v>
      </c>
      <c r="D4420" s="32" t="s">
        <v>39</v>
      </c>
      <c r="E4420" s="4">
        <f>[1]Source!AU5448</f>
        <v>10</v>
      </c>
      <c r="F4420" s="33"/>
      <c r="G4420" s="34"/>
      <c r="H4420" s="4"/>
      <c r="I4420" s="4"/>
      <c r="J4420" s="33">
        <f>SUM(AE4415:AE4419)</f>
        <v>-373.49</v>
      </c>
      <c r="K4420" s="33"/>
      <c r="M4420"/>
      <c r="N4420"/>
      <c r="O4420"/>
      <c r="P4420"/>
      <c r="Q4420"/>
    </row>
    <row r="4421" spans="1:43" ht="14.25" x14ac:dyDescent="0.2">
      <c r="A4421" s="31"/>
      <c r="B4421" s="31"/>
      <c r="C4421" s="31" t="s">
        <v>38</v>
      </c>
      <c r="D4421" s="32" t="s">
        <v>39</v>
      </c>
      <c r="E4421" s="4">
        <f>108</f>
        <v>108</v>
      </c>
      <c r="F4421" s="33"/>
      <c r="G4421" s="34"/>
      <c r="H4421" s="4"/>
      <c r="I4421" s="4"/>
      <c r="J4421" s="33">
        <f>SUM(AG4415:AG4420)</f>
        <v>-6473.39</v>
      </c>
      <c r="K4421" s="33"/>
      <c r="M4421"/>
      <c r="N4421"/>
      <c r="O4421"/>
      <c r="P4421"/>
      <c r="Q4421"/>
    </row>
    <row r="4422" spans="1:43" ht="14.25" x14ac:dyDescent="0.2">
      <c r="A4422" s="31"/>
      <c r="B4422" s="31"/>
      <c r="C4422" s="31" t="s">
        <v>42</v>
      </c>
      <c r="D4422" s="32" t="s">
        <v>43</v>
      </c>
      <c r="E4422" s="4">
        <f>[1]Source!AQ5448</f>
        <v>0.03</v>
      </c>
      <c r="F4422" s="33"/>
      <c r="G4422" s="34" t="str">
        <f>[1]Source!DI5448</f>
        <v>)*1</v>
      </c>
      <c r="H4422" s="4">
        <f>[1]Source!AV5448</f>
        <v>1</v>
      </c>
      <c r="I4422" s="4"/>
      <c r="J4422" s="33"/>
      <c r="K4422" s="33">
        <f>[1]Source!U5448</f>
        <v>-15.059999999999999</v>
      </c>
      <c r="M4422"/>
      <c r="N4422"/>
      <c r="O4422"/>
      <c r="P4422"/>
      <c r="Q4422"/>
    </row>
    <row r="4423" spans="1:43" ht="15" x14ac:dyDescent="0.25">
      <c r="A4423" s="35"/>
      <c r="B4423" s="35"/>
      <c r="C4423" s="35"/>
      <c r="D4423" s="35"/>
      <c r="E4423" s="35"/>
      <c r="F4423" s="35"/>
      <c r="G4423" s="35"/>
      <c r="H4423" s="35"/>
      <c r="I4423" s="36">
        <f>J4416+J4417+J4419+J4420+J4421</f>
        <v>-25610.640000000003</v>
      </c>
      <c r="J4423" s="36"/>
      <c r="K4423" s="37">
        <f>IF([1]Source!I5448&lt;&gt;0, ROUND(I4423/[1]Source!I5448, 2), 0)</f>
        <v>51.02</v>
      </c>
      <c r="M4423"/>
      <c r="N4423"/>
      <c r="O4423"/>
      <c r="P4423"/>
      <c r="Q4423"/>
      <c r="AA4423" s="38">
        <f>I4423</f>
        <v>-25610.640000000003</v>
      </c>
    </row>
    <row r="4424" spans="1:43" x14ac:dyDescent="0.2">
      <c r="M4424"/>
      <c r="N4424"/>
      <c r="O4424"/>
      <c r="P4424"/>
      <c r="Q4424"/>
    </row>
    <row r="4425" spans="1:43" ht="15" x14ac:dyDescent="0.25">
      <c r="A4425" s="42" t="str">
        <f>CONCATENATE("Итого по разделу: ",IF([1]Source!G5450&lt;&gt;"Новый раздел", [1]Source!G5450, ""))</f>
        <v>Итого по разделу: Сбор и перемещение снега и скола к месту временного размещения( 2025г.)</v>
      </c>
      <c r="B4425" s="42"/>
      <c r="C4425" s="42"/>
      <c r="D4425" s="42"/>
      <c r="E4425" s="42"/>
      <c r="F4425" s="42"/>
      <c r="G4425" s="42"/>
      <c r="H4425" s="42"/>
      <c r="I4425" s="43">
        <f>SUM(AA4351:AA4424)</f>
        <v>1243043.9799999997</v>
      </c>
      <c r="J4425" s="44"/>
      <c r="K4425" s="47"/>
      <c r="L4425" s="38">
        <f>I4425</f>
        <v>1243043.9799999997</v>
      </c>
      <c r="M4425" s="2">
        <f>ROUND(I4425*$I$4874,2)</f>
        <v>897734.87</v>
      </c>
      <c r="N4425" s="2">
        <f>ROUND(M4425*1.2/105*100,2)</f>
        <v>1025982.71</v>
      </c>
      <c r="O4425" s="2">
        <f>ROUND(N4425*0.05,2)</f>
        <v>51299.14</v>
      </c>
      <c r="P4425" s="2">
        <f>N4425+O4425</f>
        <v>1077281.8499999999</v>
      </c>
      <c r="Q4425" s="3">
        <v>69</v>
      </c>
      <c r="R4425">
        <v>2</v>
      </c>
      <c r="S4425" s="2">
        <v>0</v>
      </c>
      <c r="AQ4425" s="46" t="str">
        <f>CONCATENATE("Итого по разделу: ",IF([1]Source!G5450&lt;&gt;"Новый раздел", [1]Source!G5450, ""))</f>
        <v>Итого по разделу: Сбор и перемещение снега и скола к месту временного размещения( 2025г.)</v>
      </c>
    </row>
    <row r="4426" spans="1:43" x14ac:dyDescent="0.2">
      <c r="M4426"/>
      <c r="N4426"/>
      <c r="O4426"/>
      <c r="P4426"/>
      <c r="Q4426"/>
    </row>
    <row r="4427" spans="1:43" x14ac:dyDescent="0.2">
      <c r="M4427"/>
      <c r="N4427"/>
      <c r="O4427"/>
      <c r="P4427"/>
      <c r="Q4427"/>
    </row>
    <row r="4428" spans="1:43" ht="16.5" x14ac:dyDescent="0.25">
      <c r="A4428" s="29" t="str">
        <f>CONCATENATE("Раздел: ",IF([1]Source!G5480&lt;&gt;"Новый раздел", [1]Source!G5480, ""))</f>
        <v>Раздел: Сбор и перемещение снега и скола к месту временного размещения( 2026г.)</v>
      </c>
      <c r="B4428" s="29"/>
      <c r="C4428" s="29"/>
      <c r="D4428" s="29"/>
      <c r="E4428" s="29"/>
      <c r="F4428" s="29"/>
      <c r="G4428" s="29"/>
      <c r="H4428" s="29"/>
      <c r="I4428" s="29"/>
      <c r="J4428" s="29"/>
      <c r="K4428" s="29"/>
      <c r="M4428"/>
      <c r="N4428"/>
      <c r="O4428"/>
      <c r="P4428"/>
      <c r="Q4428"/>
    </row>
    <row r="4429" spans="1:43" ht="85.5" x14ac:dyDescent="0.2">
      <c r="A4429" s="31">
        <v>552</v>
      </c>
      <c r="B4429" s="31" t="str">
        <f>[1]Source!F5484</f>
        <v>5.3-1102-25-1/1</v>
      </c>
      <c r="C4429" s="31" t="str">
        <f>[1]Source!G5484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50 м )</v>
      </c>
      <c r="D4429" s="32" t="str">
        <f>[1]Source!H5484</f>
        <v>м3</v>
      </c>
      <c r="E4429" s="4">
        <f>[1]Source!I5484</f>
        <v>258.5</v>
      </c>
      <c r="F4429" s="33"/>
      <c r="G4429" s="34"/>
      <c r="H4429" s="4"/>
      <c r="I4429" s="4"/>
      <c r="J4429" s="33"/>
      <c r="K4429" s="33"/>
      <c r="M4429"/>
      <c r="N4429"/>
      <c r="O4429"/>
      <c r="P4429"/>
      <c r="Q4429"/>
      <c r="AB4429">
        <f>ROUND(([1]Source!BZ5484/100)*ROUND(([1]Source!AF5484*[1]Source!AV5484)*[1]Source!I5484, 2), 2)</f>
        <v>16598.55</v>
      </c>
      <c r="AC4429">
        <f>[1]Source!X5484</f>
        <v>16598.55</v>
      </c>
      <c r="AD4429">
        <f>ROUND(([1]Source!CA5484/100)*ROUND(([1]Source!AF5484*[1]Source!AV5484)*[1]Source!I5484, 2), 2)</f>
        <v>2371.2199999999998</v>
      </c>
      <c r="AE4429">
        <f>[1]Source!Y5484</f>
        <v>2371.2199999999998</v>
      </c>
      <c r="AF4429">
        <f>ROUND((175/100)*ROUND(([1]Source!AE5484*[1]Source!AV5484)*[1]Source!I5484, 2), 2)</f>
        <v>83490.33</v>
      </c>
      <c r="AG4429">
        <f>ROUND((108/100)*ROUND([1]Source!CS5484*[1]Source!I5484, 2), 2)</f>
        <v>51525.46</v>
      </c>
    </row>
    <row r="4430" spans="1:43" ht="14.25" x14ac:dyDescent="0.2">
      <c r="A4430" s="31"/>
      <c r="B4430" s="31"/>
      <c r="C4430" s="31" t="s">
        <v>34</v>
      </c>
      <c r="D4430" s="32"/>
      <c r="E4430" s="4"/>
      <c r="F4430" s="33">
        <f>[1]Source!AO5484</f>
        <v>91.73</v>
      </c>
      <c r="G4430" s="34" t="str">
        <f>[1]Source!DG5484</f>
        <v>)*1</v>
      </c>
      <c r="H4430" s="4">
        <f>[1]Source!AV5484</f>
        <v>1</v>
      </c>
      <c r="I4430" s="4">
        <f>IF([1]Source!BA5484&lt;&gt; 0, [1]Source!BA5484, 1)</f>
        <v>1</v>
      </c>
      <c r="J4430" s="33">
        <f>[1]Source!S5484</f>
        <v>23712.21</v>
      </c>
      <c r="K4430" s="33"/>
      <c r="M4430"/>
      <c r="N4430"/>
      <c r="O4430"/>
      <c r="P4430"/>
      <c r="Q4430"/>
    </row>
    <row r="4431" spans="1:43" ht="14.25" x14ac:dyDescent="0.2">
      <c r="A4431" s="31"/>
      <c r="B4431" s="31"/>
      <c r="C4431" s="31" t="s">
        <v>33</v>
      </c>
      <c r="D4431" s="32"/>
      <c r="E4431" s="4"/>
      <c r="F4431" s="33">
        <f>[1]Source!AM5484</f>
        <v>382.15</v>
      </c>
      <c r="G4431" s="34" t="str">
        <f>[1]Source!DE5484</f>
        <v>)*1</v>
      </c>
      <c r="H4431" s="4">
        <f>[1]Source!AV5484</f>
        <v>1</v>
      </c>
      <c r="I4431" s="4">
        <f>IF([1]Source!BB5484&lt;&gt; 0, [1]Source!BB5484, 1)</f>
        <v>1</v>
      </c>
      <c r="J4431" s="33">
        <f>[1]Source!Q5484</f>
        <v>98785.78</v>
      </c>
      <c r="K4431" s="33"/>
      <c r="M4431"/>
      <c r="N4431"/>
      <c r="O4431"/>
      <c r="P4431"/>
      <c r="Q4431"/>
    </row>
    <row r="4432" spans="1:43" ht="14.25" x14ac:dyDescent="0.2">
      <c r="A4432" s="31"/>
      <c r="B4432" s="31"/>
      <c r="C4432" s="31" t="s">
        <v>37</v>
      </c>
      <c r="D4432" s="32"/>
      <c r="E4432" s="4"/>
      <c r="F4432" s="33">
        <f>[1]Source!AN5484</f>
        <v>184.56</v>
      </c>
      <c r="G4432" s="34" t="str">
        <f>[1]Source!DF5484</f>
        <v>)*1</v>
      </c>
      <c r="H4432" s="4">
        <f>[1]Source!AV5484</f>
        <v>1</v>
      </c>
      <c r="I4432" s="4">
        <f>IF([1]Source!BS5484&lt;&gt; 0, [1]Source!BS5484, 1)</f>
        <v>1</v>
      </c>
      <c r="J4432" s="41">
        <f>[1]Source!R5484</f>
        <v>47708.76</v>
      </c>
      <c r="K4432" s="33"/>
      <c r="M4432"/>
      <c r="N4432"/>
      <c r="O4432"/>
      <c r="P4432"/>
      <c r="Q4432"/>
    </row>
    <row r="4433" spans="1:33" ht="14.25" x14ac:dyDescent="0.2">
      <c r="A4433" s="31"/>
      <c r="B4433" s="31"/>
      <c r="C4433" s="31" t="s">
        <v>40</v>
      </c>
      <c r="D4433" s="32" t="s">
        <v>39</v>
      </c>
      <c r="E4433" s="4">
        <f>[1]Source!AT5484</f>
        <v>70</v>
      </c>
      <c r="F4433" s="33"/>
      <c r="G4433" s="34"/>
      <c r="H4433" s="4"/>
      <c r="I4433" s="4"/>
      <c r="J4433" s="33">
        <f>SUM(AC4429:AC4432)</f>
        <v>16598.55</v>
      </c>
      <c r="K4433" s="33"/>
      <c r="M4433"/>
      <c r="N4433"/>
      <c r="O4433"/>
      <c r="P4433"/>
      <c r="Q4433"/>
    </row>
    <row r="4434" spans="1:33" ht="14.25" x14ac:dyDescent="0.2">
      <c r="A4434" s="31"/>
      <c r="B4434" s="31"/>
      <c r="C4434" s="31" t="s">
        <v>41</v>
      </c>
      <c r="D4434" s="32" t="s">
        <v>39</v>
      </c>
      <c r="E4434" s="4">
        <f>[1]Source!AU5484</f>
        <v>10</v>
      </c>
      <c r="F4434" s="33"/>
      <c r="G4434" s="34"/>
      <c r="H4434" s="4"/>
      <c r="I4434" s="4"/>
      <c r="J4434" s="33">
        <f>SUM(AE4429:AE4433)</f>
        <v>2371.2199999999998</v>
      </c>
      <c r="K4434" s="33"/>
      <c r="M4434"/>
      <c r="N4434"/>
      <c r="O4434"/>
      <c r="P4434"/>
      <c r="Q4434"/>
    </row>
    <row r="4435" spans="1:33" ht="14.25" x14ac:dyDescent="0.2">
      <c r="A4435" s="31"/>
      <c r="B4435" s="31"/>
      <c r="C4435" s="31" t="s">
        <v>38</v>
      </c>
      <c r="D4435" s="32" t="s">
        <v>39</v>
      </c>
      <c r="E4435" s="4">
        <f>108</f>
        <v>108</v>
      </c>
      <c r="F4435" s="33"/>
      <c r="G4435" s="34"/>
      <c r="H4435" s="4"/>
      <c r="I4435" s="4"/>
      <c r="J4435" s="33">
        <f>SUM(AG4429:AG4434)</f>
        <v>51525.46</v>
      </c>
      <c r="K4435" s="33"/>
      <c r="M4435"/>
      <c r="N4435"/>
      <c r="O4435"/>
      <c r="P4435"/>
      <c r="Q4435"/>
    </row>
    <row r="4436" spans="1:33" ht="14.25" x14ac:dyDescent="0.2">
      <c r="A4436" s="31"/>
      <c r="B4436" s="31"/>
      <c r="C4436" s="31" t="s">
        <v>42</v>
      </c>
      <c r="D4436" s="32" t="s">
        <v>43</v>
      </c>
      <c r="E4436" s="4">
        <f>[1]Source!AQ5484</f>
        <v>0.37</v>
      </c>
      <c r="F4436" s="33"/>
      <c r="G4436" s="34" t="str">
        <f>[1]Source!DI5484</f>
        <v>)*1</v>
      </c>
      <c r="H4436" s="4">
        <f>[1]Source!AV5484</f>
        <v>1</v>
      </c>
      <c r="I4436" s="4"/>
      <c r="J4436" s="33"/>
      <c r="K4436" s="33">
        <f>[1]Source!U5484</f>
        <v>95.644999999999996</v>
      </c>
      <c r="M4436"/>
      <c r="N4436"/>
      <c r="O4436"/>
      <c r="P4436"/>
      <c r="Q4436"/>
    </row>
    <row r="4437" spans="1:33" ht="15" x14ac:dyDescent="0.25">
      <c r="A4437" s="35"/>
      <c r="B4437" s="35"/>
      <c r="C4437" s="35"/>
      <c r="D4437" s="35"/>
      <c r="E4437" s="35"/>
      <c r="F4437" s="35"/>
      <c r="G4437" s="35"/>
      <c r="H4437" s="35"/>
      <c r="I4437" s="36">
        <f>J4430+J4431+J4433+J4434+J4435</f>
        <v>192993.21999999997</v>
      </c>
      <c r="J4437" s="36"/>
      <c r="K4437" s="37">
        <f>IF([1]Source!I5484&lt;&gt;0, ROUND(I4437/[1]Source!I5484, 2), 0)</f>
        <v>746.59</v>
      </c>
      <c r="M4437"/>
      <c r="N4437"/>
      <c r="O4437"/>
      <c r="P4437"/>
      <c r="Q4437"/>
      <c r="AA4437" s="38">
        <f>I4437</f>
        <v>192993.21999999997</v>
      </c>
    </row>
    <row r="4438" spans="1:33" ht="85.5" x14ac:dyDescent="0.2">
      <c r="A4438" s="31">
        <v>553</v>
      </c>
      <c r="B4438" s="31" t="str">
        <f>[1]Source!F5485</f>
        <v>5.3-1102-25-2/1</v>
      </c>
      <c r="C4438" s="31" t="str">
        <f>[1]Source!G5485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438" s="32" t="str">
        <f>[1]Source!H5485</f>
        <v>м3</v>
      </c>
      <c r="E4438" s="4">
        <f>[1]Source!I5485</f>
        <v>-258.5</v>
      </c>
      <c r="F4438" s="33"/>
      <c r="G4438" s="34"/>
      <c r="H4438" s="4"/>
      <c r="I4438" s="4"/>
      <c r="J4438" s="33"/>
      <c r="K4438" s="33"/>
      <c r="M4438"/>
      <c r="N4438"/>
      <c r="O4438"/>
      <c r="P4438"/>
      <c r="Q4438"/>
      <c r="AB4438">
        <f>ROUND(([1]Source!BZ5485/100)*ROUND(([1]Source!AF5485*[1]Source!AV5485)*[1]Source!I5485, 2), 2)</f>
        <v>-5385.07</v>
      </c>
      <c r="AC4438">
        <f>[1]Source!X5485</f>
        <v>-5385.07</v>
      </c>
      <c r="AD4438">
        <f>ROUND(([1]Source!CA5485/100)*ROUND(([1]Source!AF5485*[1]Source!AV5485)*[1]Source!I5485, 2), 2)</f>
        <v>-769.3</v>
      </c>
      <c r="AE4438">
        <f>[1]Source!Y5485</f>
        <v>-769.3</v>
      </c>
      <c r="AF4438">
        <f>ROUND((175/100)*ROUND(([1]Source!AE5485*[1]Source!AV5485)*[1]Source!I5485, 2), 2)</f>
        <v>-21605.43</v>
      </c>
      <c r="AG4438">
        <f>ROUND((108/100)*ROUND([1]Source!CS5485*[1]Source!I5485, 2), 2)</f>
        <v>-13333.64</v>
      </c>
    </row>
    <row r="4439" spans="1:33" ht="14.25" x14ac:dyDescent="0.2">
      <c r="A4439" s="31"/>
      <c r="B4439" s="31"/>
      <c r="C4439" s="31" t="s">
        <v>34</v>
      </c>
      <c r="D4439" s="32"/>
      <c r="E4439" s="4"/>
      <c r="F4439" s="33">
        <f>[1]Source!AO5485</f>
        <v>7.44</v>
      </c>
      <c r="G4439" s="34" t="str">
        <f>[1]Source!DG5485</f>
        <v>)*4</v>
      </c>
      <c r="H4439" s="4">
        <f>[1]Source!AV5485</f>
        <v>1</v>
      </c>
      <c r="I4439" s="4">
        <f>IF([1]Source!BA5485&lt;&gt; 0, [1]Source!BA5485, 1)</f>
        <v>1</v>
      </c>
      <c r="J4439" s="33">
        <f>[1]Source!S5485</f>
        <v>-7692.96</v>
      </c>
      <c r="K4439" s="33"/>
      <c r="M4439"/>
      <c r="N4439"/>
      <c r="O4439"/>
      <c r="P4439"/>
      <c r="Q4439"/>
    </row>
    <row r="4440" spans="1:33" ht="14.25" x14ac:dyDescent="0.2">
      <c r="A4440" s="31"/>
      <c r="B4440" s="31"/>
      <c r="C4440" s="31" t="s">
        <v>33</v>
      </c>
      <c r="D4440" s="32"/>
      <c r="E4440" s="4"/>
      <c r="F4440" s="33">
        <f>[1]Source!AM5485</f>
        <v>24.73</v>
      </c>
      <c r="G4440" s="34" t="str">
        <f>[1]Source!DE5485</f>
        <v>)*4</v>
      </c>
      <c r="H4440" s="4">
        <f>[1]Source!AV5485</f>
        <v>1</v>
      </c>
      <c r="I4440" s="4">
        <f>IF([1]Source!BB5485&lt;&gt; 0, [1]Source!BB5485, 1)</f>
        <v>1</v>
      </c>
      <c r="J4440" s="33">
        <f>[1]Source!Q5485</f>
        <v>-25570.82</v>
      </c>
      <c r="K4440" s="33"/>
      <c r="M4440"/>
      <c r="N4440"/>
      <c r="O4440"/>
      <c r="P4440"/>
      <c r="Q4440"/>
    </row>
    <row r="4441" spans="1:33" ht="14.25" x14ac:dyDescent="0.2">
      <c r="A4441" s="31"/>
      <c r="B4441" s="31"/>
      <c r="C4441" s="31" t="s">
        <v>37</v>
      </c>
      <c r="D4441" s="32"/>
      <c r="E4441" s="4"/>
      <c r="F4441" s="33">
        <f>[1]Source!AN5485</f>
        <v>11.94</v>
      </c>
      <c r="G4441" s="34" t="str">
        <f>[1]Source!DF5485</f>
        <v>)*4</v>
      </c>
      <c r="H4441" s="4">
        <f>[1]Source!AV5485</f>
        <v>1</v>
      </c>
      <c r="I4441" s="4">
        <f>IF([1]Source!BS5485&lt;&gt; 0, [1]Source!BS5485, 1)</f>
        <v>1</v>
      </c>
      <c r="J4441" s="41">
        <f>[1]Source!R5485</f>
        <v>-12345.96</v>
      </c>
      <c r="K4441" s="33"/>
      <c r="M4441"/>
      <c r="N4441"/>
      <c r="O4441"/>
      <c r="P4441"/>
      <c r="Q4441"/>
    </row>
    <row r="4442" spans="1:33" ht="14.25" x14ac:dyDescent="0.2">
      <c r="A4442" s="31"/>
      <c r="B4442" s="31"/>
      <c r="C4442" s="31" t="s">
        <v>40</v>
      </c>
      <c r="D4442" s="32" t="s">
        <v>39</v>
      </c>
      <c r="E4442" s="4">
        <f>[1]Source!AT5485</f>
        <v>70</v>
      </c>
      <c r="F4442" s="33"/>
      <c r="G4442" s="34"/>
      <c r="H4442" s="4"/>
      <c r="I4442" s="4"/>
      <c r="J4442" s="33">
        <f>SUM(AC4438:AC4441)</f>
        <v>-5385.07</v>
      </c>
      <c r="K4442" s="33"/>
      <c r="M4442"/>
      <c r="N4442"/>
      <c r="O4442"/>
      <c r="P4442"/>
      <c r="Q4442"/>
    </row>
    <row r="4443" spans="1:33" ht="14.25" x14ac:dyDescent="0.2">
      <c r="A4443" s="31"/>
      <c r="B4443" s="31"/>
      <c r="C4443" s="31" t="s">
        <v>41</v>
      </c>
      <c r="D4443" s="32" t="s">
        <v>39</v>
      </c>
      <c r="E4443" s="4">
        <f>[1]Source!AU5485</f>
        <v>10</v>
      </c>
      <c r="F4443" s="33"/>
      <c r="G4443" s="34"/>
      <c r="H4443" s="4"/>
      <c r="I4443" s="4"/>
      <c r="J4443" s="33">
        <f>SUM(AE4438:AE4442)</f>
        <v>-769.3</v>
      </c>
      <c r="K4443" s="33"/>
      <c r="M4443"/>
      <c r="N4443"/>
      <c r="O4443"/>
      <c r="P4443"/>
      <c r="Q4443"/>
    </row>
    <row r="4444" spans="1:33" ht="14.25" x14ac:dyDescent="0.2">
      <c r="A4444" s="31"/>
      <c r="B4444" s="31"/>
      <c r="C4444" s="31" t="s">
        <v>38</v>
      </c>
      <c r="D4444" s="32" t="s">
        <v>39</v>
      </c>
      <c r="E4444" s="4">
        <f>108</f>
        <v>108</v>
      </c>
      <c r="F4444" s="33"/>
      <c r="G4444" s="34"/>
      <c r="H4444" s="4"/>
      <c r="I4444" s="4"/>
      <c r="J4444" s="33">
        <f>SUM(AG4438:AG4443)</f>
        <v>-13333.64</v>
      </c>
      <c r="K4444" s="33"/>
      <c r="M4444"/>
      <c r="N4444"/>
      <c r="O4444"/>
      <c r="P4444"/>
      <c r="Q4444"/>
    </row>
    <row r="4445" spans="1:33" ht="14.25" x14ac:dyDescent="0.2">
      <c r="A4445" s="31"/>
      <c r="B4445" s="31"/>
      <c r="C4445" s="31" t="s">
        <v>42</v>
      </c>
      <c r="D4445" s="32" t="s">
        <v>43</v>
      </c>
      <c r="E4445" s="4">
        <f>[1]Source!AQ5485</f>
        <v>0.03</v>
      </c>
      <c r="F4445" s="33"/>
      <c r="G4445" s="34" t="str">
        <f>[1]Source!DI5485</f>
        <v>)*4</v>
      </c>
      <c r="H4445" s="4">
        <f>[1]Source!AV5485</f>
        <v>1</v>
      </c>
      <c r="I4445" s="4"/>
      <c r="J4445" s="33"/>
      <c r="K4445" s="33">
        <f>[1]Source!U5485</f>
        <v>-31.02</v>
      </c>
      <c r="M4445"/>
      <c r="N4445"/>
      <c r="O4445"/>
      <c r="P4445"/>
      <c r="Q4445"/>
    </row>
    <row r="4446" spans="1:33" ht="15" x14ac:dyDescent="0.25">
      <c r="A4446" s="35"/>
      <c r="B4446" s="35"/>
      <c r="C4446" s="35"/>
      <c r="D4446" s="35"/>
      <c r="E4446" s="35"/>
      <c r="F4446" s="35"/>
      <c r="G4446" s="35"/>
      <c r="H4446" s="35"/>
      <c r="I4446" s="36">
        <f>J4439+J4440+J4442+J4443+J4444</f>
        <v>-52751.79</v>
      </c>
      <c r="J4446" s="36"/>
      <c r="K4446" s="37">
        <f>IF([1]Source!I5485&lt;&gt;0, ROUND(I4446/[1]Source!I5485, 2), 0)</f>
        <v>204.07</v>
      </c>
      <c r="M4446"/>
      <c r="N4446"/>
      <c r="O4446"/>
      <c r="P4446"/>
      <c r="Q4446"/>
      <c r="AA4446" s="38">
        <f>I4446</f>
        <v>-52751.79</v>
      </c>
    </row>
    <row r="4447" spans="1:33" ht="85.5" x14ac:dyDescent="0.2">
      <c r="A4447" s="31">
        <v>554</v>
      </c>
      <c r="B4447" s="31" t="str">
        <f>[1]Source!F5486</f>
        <v>5.3-1102-25-1/1</v>
      </c>
      <c r="C4447" s="31" t="str">
        <f>[1]Source!G5486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100 м )</v>
      </c>
      <c r="D4447" s="32" t="str">
        <f>[1]Source!H5486</f>
        <v>м3</v>
      </c>
      <c r="E4447" s="4">
        <f>[1]Source!I5486</f>
        <v>258.5</v>
      </c>
      <c r="F4447" s="33"/>
      <c r="G4447" s="34"/>
      <c r="H4447" s="4"/>
      <c r="I4447" s="4"/>
      <c r="J4447" s="33"/>
      <c r="K4447" s="33"/>
      <c r="M4447"/>
      <c r="N4447"/>
      <c r="O4447"/>
      <c r="P4447"/>
      <c r="Q4447"/>
      <c r="AB4447">
        <f>ROUND(([1]Source!BZ5486/100)*ROUND(([1]Source!AF5486*[1]Source!AV5486)*[1]Source!I5486, 2), 2)</f>
        <v>16598.55</v>
      </c>
      <c r="AC4447">
        <f>[1]Source!X5486</f>
        <v>16598.55</v>
      </c>
      <c r="AD4447">
        <f>ROUND(([1]Source!CA5486/100)*ROUND(([1]Source!AF5486*[1]Source!AV5486)*[1]Source!I5486, 2), 2)</f>
        <v>2371.2199999999998</v>
      </c>
      <c r="AE4447">
        <f>[1]Source!Y5486</f>
        <v>2371.2199999999998</v>
      </c>
      <c r="AF4447">
        <f>ROUND((175/100)*ROUND(([1]Source!AE5486*[1]Source!AV5486)*[1]Source!I5486, 2), 2)</f>
        <v>83490.33</v>
      </c>
      <c r="AG4447">
        <f>ROUND((108/100)*ROUND([1]Source!CS5486*[1]Source!I5486, 2), 2)</f>
        <v>51525.46</v>
      </c>
    </row>
    <row r="4448" spans="1:33" ht="14.25" x14ac:dyDescent="0.2">
      <c r="A4448" s="31"/>
      <c r="B4448" s="31"/>
      <c r="C4448" s="31" t="s">
        <v>34</v>
      </c>
      <c r="D4448" s="32"/>
      <c r="E4448" s="4"/>
      <c r="F4448" s="33">
        <f>[1]Source!AO5486</f>
        <v>91.73</v>
      </c>
      <c r="G4448" s="34" t="str">
        <f>[1]Source!DG5486</f>
        <v>)*1</v>
      </c>
      <c r="H4448" s="4">
        <f>[1]Source!AV5486</f>
        <v>1</v>
      </c>
      <c r="I4448" s="4">
        <f>IF([1]Source!BA5486&lt;&gt; 0, [1]Source!BA5486, 1)</f>
        <v>1</v>
      </c>
      <c r="J4448" s="33">
        <f>[1]Source!S5486</f>
        <v>23712.21</v>
      </c>
      <c r="K4448" s="33"/>
      <c r="M4448"/>
      <c r="N4448"/>
      <c r="O4448"/>
      <c r="P4448"/>
      <c r="Q4448"/>
    </row>
    <row r="4449" spans="1:33" ht="14.25" x14ac:dyDescent="0.2">
      <c r="A4449" s="31"/>
      <c r="B4449" s="31"/>
      <c r="C4449" s="31" t="s">
        <v>33</v>
      </c>
      <c r="D4449" s="32"/>
      <c r="E4449" s="4"/>
      <c r="F4449" s="33">
        <f>[1]Source!AM5486</f>
        <v>382.15</v>
      </c>
      <c r="G4449" s="34" t="str">
        <f>[1]Source!DE5486</f>
        <v>)*1</v>
      </c>
      <c r="H4449" s="4">
        <f>[1]Source!AV5486</f>
        <v>1</v>
      </c>
      <c r="I4449" s="4">
        <f>IF([1]Source!BB5486&lt;&gt; 0, [1]Source!BB5486, 1)</f>
        <v>1</v>
      </c>
      <c r="J4449" s="33">
        <f>[1]Source!Q5486</f>
        <v>98785.78</v>
      </c>
      <c r="K4449" s="33"/>
      <c r="M4449"/>
      <c r="N4449"/>
      <c r="O4449"/>
      <c r="P4449"/>
      <c r="Q4449"/>
    </row>
    <row r="4450" spans="1:33" ht="14.25" x14ac:dyDescent="0.2">
      <c r="A4450" s="31"/>
      <c r="B4450" s="31"/>
      <c r="C4450" s="31" t="s">
        <v>37</v>
      </c>
      <c r="D4450" s="32"/>
      <c r="E4450" s="4"/>
      <c r="F4450" s="33">
        <f>[1]Source!AN5486</f>
        <v>184.56</v>
      </c>
      <c r="G4450" s="34" t="str">
        <f>[1]Source!DF5486</f>
        <v>)*1</v>
      </c>
      <c r="H4450" s="4">
        <f>[1]Source!AV5486</f>
        <v>1</v>
      </c>
      <c r="I4450" s="4">
        <f>IF([1]Source!BS5486&lt;&gt; 0, [1]Source!BS5486, 1)</f>
        <v>1</v>
      </c>
      <c r="J4450" s="41">
        <f>[1]Source!R5486</f>
        <v>47708.76</v>
      </c>
      <c r="K4450" s="33"/>
      <c r="M4450"/>
      <c r="N4450"/>
      <c r="O4450"/>
      <c r="P4450"/>
      <c r="Q4450"/>
    </row>
    <row r="4451" spans="1:33" ht="14.25" x14ac:dyDescent="0.2">
      <c r="A4451" s="31"/>
      <c r="B4451" s="31"/>
      <c r="C4451" s="31" t="s">
        <v>40</v>
      </c>
      <c r="D4451" s="32" t="s">
        <v>39</v>
      </c>
      <c r="E4451" s="4">
        <f>[1]Source!AT5486</f>
        <v>70</v>
      </c>
      <c r="F4451" s="33"/>
      <c r="G4451" s="34"/>
      <c r="H4451" s="4"/>
      <c r="I4451" s="4"/>
      <c r="J4451" s="33">
        <f>SUM(AC4447:AC4450)</f>
        <v>16598.55</v>
      </c>
      <c r="K4451" s="33"/>
      <c r="M4451"/>
      <c r="N4451"/>
      <c r="O4451"/>
      <c r="P4451"/>
      <c r="Q4451"/>
    </row>
    <row r="4452" spans="1:33" ht="14.25" x14ac:dyDescent="0.2">
      <c r="A4452" s="31"/>
      <c r="B4452" s="31"/>
      <c r="C4452" s="31" t="s">
        <v>41</v>
      </c>
      <c r="D4452" s="32" t="s">
        <v>39</v>
      </c>
      <c r="E4452" s="4">
        <f>[1]Source!AU5486</f>
        <v>10</v>
      </c>
      <c r="F4452" s="33"/>
      <c r="G4452" s="34"/>
      <c r="H4452" s="4"/>
      <c r="I4452" s="4"/>
      <c r="J4452" s="33">
        <f>SUM(AE4447:AE4451)</f>
        <v>2371.2199999999998</v>
      </c>
      <c r="K4452" s="33"/>
      <c r="M4452"/>
      <c r="N4452"/>
      <c r="O4452"/>
      <c r="P4452"/>
      <c r="Q4452"/>
    </row>
    <row r="4453" spans="1:33" ht="14.25" x14ac:dyDescent="0.2">
      <c r="A4453" s="31"/>
      <c r="B4453" s="31"/>
      <c r="C4453" s="31" t="s">
        <v>38</v>
      </c>
      <c r="D4453" s="32" t="s">
        <v>39</v>
      </c>
      <c r="E4453" s="4">
        <f>108</f>
        <v>108</v>
      </c>
      <c r="F4453" s="33"/>
      <c r="G4453" s="34"/>
      <c r="H4453" s="4"/>
      <c r="I4453" s="4"/>
      <c r="J4453" s="33">
        <f>SUM(AG4447:AG4452)</f>
        <v>51525.46</v>
      </c>
      <c r="K4453" s="33"/>
      <c r="M4453"/>
      <c r="N4453"/>
      <c r="O4453"/>
      <c r="P4453"/>
      <c r="Q4453"/>
    </row>
    <row r="4454" spans="1:33" ht="14.25" x14ac:dyDescent="0.2">
      <c r="A4454" s="31"/>
      <c r="B4454" s="31"/>
      <c r="C4454" s="31" t="s">
        <v>42</v>
      </c>
      <c r="D4454" s="32" t="s">
        <v>43</v>
      </c>
      <c r="E4454" s="4">
        <f>[1]Source!AQ5486</f>
        <v>0.37</v>
      </c>
      <c r="F4454" s="33"/>
      <c r="G4454" s="34" t="str">
        <f>[1]Source!DI5486</f>
        <v>)*1</v>
      </c>
      <c r="H4454" s="4">
        <f>[1]Source!AV5486</f>
        <v>1</v>
      </c>
      <c r="I4454" s="4"/>
      <c r="J4454" s="33"/>
      <c r="K4454" s="33">
        <f>[1]Source!U5486</f>
        <v>95.644999999999996</v>
      </c>
      <c r="M4454"/>
      <c r="N4454"/>
      <c r="O4454"/>
      <c r="P4454"/>
      <c r="Q4454"/>
    </row>
    <row r="4455" spans="1:33" ht="15" x14ac:dyDescent="0.25">
      <c r="A4455" s="35"/>
      <c r="B4455" s="35"/>
      <c r="C4455" s="35"/>
      <c r="D4455" s="35"/>
      <c r="E4455" s="35"/>
      <c r="F4455" s="35"/>
      <c r="G4455" s="35"/>
      <c r="H4455" s="35"/>
      <c r="I4455" s="36">
        <f>J4448+J4449+J4451+J4452+J4453</f>
        <v>192993.21999999997</v>
      </c>
      <c r="J4455" s="36"/>
      <c r="K4455" s="37">
        <f>IF([1]Source!I5486&lt;&gt;0, ROUND(I4455/[1]Source!I5486, 2), 0)</f>
        <v>746.59</v>
      </c>
      <c r="M4455"/>
      <c r="N4455"/>
      <c r="O4455"/>
      <c r="P4455"/>
      <c r="Q4455"/>
      <c r="AA4455" s="38">
        <f>I4455</f>
        <v>192993.21999999997</v>
      </c>
    </row>
    <row r="4456" spans="1:33" ht="85.5" x14ac:dyDescent="0.2">
      <c r="A4456" s="31">
        <v>555</v>
      </c>
      <c r="B4456" s="31" t="str">
        <f>[1]Source!F5487</f>
        <v>5.3-1102-25-2/1</v>
      </c>
      <c r="C4456" s="31" t="str">
        <f>[1]Source!G5487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456" s="32" t="str">
        <f>[1]Source!H5487</f>
        <v>м3</v>
      </c>
      <c r="E4456" s="4">
        <f>[1]Source!I5487</f>
        <v>-258.5</v>
      </c>
      <c r="F4456" s="33"/>
      <c r="G4456" s="34"/>
      <c r="H4456" s="4"/>
      <c r="I4456" s="4"/>
      <c r="J4456" s="33"/>
      <c r="K4456" s="33"/>
      <c r="M4456"/>
      <c r="N4456"/>
      <c r="O4456"/>
      <c r="P4456"/>
      <c r="Q4456"/>
      <c r="AB4456">
        <f>ROUND(([1]Source!BZ5487/100)*ROUND(([1]Source!AF5487*[1]Source!AV5487)*[1]Source!I5487, 2), 2)</f>
        <v>-4038.8</v>
      </c>
      <c r="AC4456">
        <f>[1]Source!X5487</f>
        <v>-4038.8</v>
      </c>
      <c r="AD4456">
        <f>ROUND(([1]Source!CA5487/100)*ROUND(([1]Source!AF5487*[1]Source!AV5487)*[1]Source!I5487, 2), 2)</f>
        <v>-576.97</v>
      </c>
      <c r="AE4456">
        <f>[1]Source!Y5487</f>
        <v>-576.97</v>
      </c>
      <c r="AF4456">
        <f>ROUND((175/100)*ROUND(([1]Source!AE5487*[1]Source!AV5487)*[1]Source!I5487, 2), 2)</f>
        <v>-16204.07</v>
      </c>
      <c r="AG4456">
        <f>ROUND((108/100)*ROUND([1]Source!CS5487*[1]Source!I5487, 2), 2)</f>
        <v>-10000.23</v>
      </c>
    </row>
    <row r="4457" spans="1:33" ht="14.25" x14ac:dyDescent="0.2">
      <c r="A4457" s="31"/>
      <c r="B4457" s="31"/>
      <c r="C4457" s="31" t="s">
        <v>34</v>
      </c>
      <c r="D4457" s="32"/>
      <c r="E4457" s="4"/>
      <c r="F4457" s="33">
        <f>[1]Source!AO5487</f>
        <v>7.44</v>
      </c>
      <c r="G4457" s="34" t="str">
        <f>[1]Source!DG5487</f>
        <v>)*3</v>
      </c>
      <c r="H4457" s="4">
        <f>[1]Source!AV5487</f>
        <v>1</v>
      </c>
      <c r="I4457" s="4">
        <f>IF([1]Source!BA5487&lt;&gt; 0, [1]Source!BA5487, 1)</f>
        <v>1</v>
      </c>
      <c r="J4457" s="33">
        <f>[1]Source!S5487</f>
        <v>-5769.72</v>
      </c>
      <c r="K4457" s="33"/>
      <c r="M4457"/>
      <c r="N4457"/>
      <c r="O4457"/>
      <c r="P4457"/>
      <c r="Q4457"/>
    </row>
    <row r="4458" spans="1:33" ht="14.25" x14ac:dyDescent="0.2">
      <c r="A4458" s="31"/>
      <c r="B4458" s="31"/>
      <c r="C4458" s="31" t="s">
        <v>33</v>
      </c>
      <c r="D4458" s="32"/>
      <c r="E4458" s="4"/>
      <c r="F4458" s="33">
        <f>[1]Source!AM5487</f>
        <v>24.73</v>
      </c>
      <c r="G4458" s="34" t="str">
        <f>[1]Source!DE5487</f>
        <v>)*3</v>
      </c>
      <c r="H4458" s="4">
        <f>[1]Source!AV5487</f>
        <v>1</v>
      </c>
      <c r="I4458" s="4">
        <f>IF([1]Source!BB5487&lt;&gt; 0, [1]Source!BB5487, 1)</f>
        <v>1</v>
      </c>
      <c r="J4458" s="33">
        <f>[1]Source!Q5487</f>
        <v>-19178.12</v>
      </c>
      <c r="K4458" s="33"/>
      <c r="M4458"/>
      <c r="N4458"/>
      <c r="O4458"/>
      <c r="P4458"/>
      <c r="Q4458"/>
    </row>
    <row r="4459" spans="1:33" ht="14.25" x14ac:dyDescent="0.2">
      <c r="A4459" s="31"/>
      <c r="B4459" s="31"/>
      <c r="C4459" s="31" t="s">
        <v>37</v>
      </c>
      <c r="D4459" s="32"/>
      <c r="E4459" s="4"/>
      <c r="F4459" s="33">
        <f>[1]Source!AN5487</f>
        <v>11.94</v>
      </c>
      <c r="G4459" s="34" t="str">
        <f>[1]Source!DF5487</f>
        <v>)*3</v>
      </c>
      <c r="H4459" s="4">
        <f>[1]Source!AV5487</f>
        <v>1</v>
      </c>
      <c r="I4459" s="4">
        <f>IF([1]Source!BS5487&lt;&gt; 0, [1]Source!BS5487, 1)</f>
        <v>1</v>
      </c>
      <c r="J4459" s="41">
        <f>[1]Source!R5487</f>
        <v>-9259.4699999999993</v>
      </c>
      <c r="K4459" s="33"/>
      <c r="M4459"/>
      <c r="N4459"/>
      <c r="O4459"/>
      <c r="P4459"/>
      <c r="Q4459"/>
    </row>
    <row r="4460" spans="1:33" ht="14.25" x14ac:dyDescent="0.2">
      <c r="A4460" s="31"/>
      <c r="B4460" s="31"/>
      <c r="C4460" s="31" t="s">
        <v>40</v>
      </c>
      <c r="D4460" s="32" t="s">
        <v>39</v>
      </c>
      <c r="E4460" s="4">
        <f>[1]Source!AT5487</f>
        <v>70</v>
      </c>
      <c r="F4460" s="33"/>
      <c r="G4460" s="34"/>
      <c r="H4460" s="4"/>
      <c r="I4460" s="4"/>
      <c r="J4460" s="33">
        <f>SUM(AC4456:AC4459)</f>
        <v>-4038.8</v>
      </c>
      <c r="K4460" s="33"/>
      <c r="M4460"/>
      <c r="N4460"/>
      <c r="O4460"/>
      <c r="P4460"/>
      <c r="Q4460"/>
    </row>
    <row r="4461" spans="1:33" ht="14.25" x14ac:dyDescent="0.2">
      <c r="A4461" s="31"/>
      <c r="B4461" s="31"/>
      <c r="C4461" s="31" t="s">
        <v>41</v>
      </c>
      <c r="D4461" s="32" t="s">
        <v>39</v>
      </c>
      <c r="E4461" s="4">
        <f>[1]Source!AU5487</f>
        <v>10</v>
      </c>
      <c r="F4461" s="33"/>
      <c r="G4461" s="34"/>
      <c r="H4461" s="4"/>
      <c r="I4461" s="4"/>
      <c r="J4461" s="33">
        <f>SUM(AE4456:AE4460)</f>
        <v>-576.97</v>
      </c>
      <c r="K4461" s="33"/>
      <c r="M4461"/>
      <c r="N4461"/>
      <c r="O4461"/>
      <c r="P4461"/>
      <c r="Q4461"/>
    </row>
    <row r="4462" spans="1:33" ht="14.25" x14ac:dyDescent="0.2">
      <c r="A4462" s="31"/>
      <c r="B4462" s="31"/>
      <c r="C4462" s="31" t="s">
        <v>38</v>
      </c>
      <c r="D4462" s="32" t="s">
        <v>39</v>
      </c>
      <c r="E4462" s="4">
        <f>108</f>
        <v>108</v>
      </c>
      <c r="F4462" s="33"/>
      <c r="G4462" s="34"/>
      <c r="H4462" s="4"/>
      <c r="I4462" s="4"/>
      <c r="J4462" s="33">
        <f>SUM(AG4456:AG4461)</f>
        <v>-10000.23</v>
      </c>
      <c r="K4462" s="33"/>
      <c r="M4462"/>
      <c r="N4462"/>
      <c r="O4462"/>
      <c r="P4462"/>
      <c r="Q4462"/>
    </row>
    <row r="4463" spans="1:33" ht="14.25" x14ac:dyDescent="0.2">
      <c r="A4463" s="31"/>
      <c r="B4463" s="31"/>
      <c r="C4463" s="31" t="s">
        <v>42</v>
      </c>
      <c r="D4463" s="32" t="s">
        <v>43</v>
      </c>
      <c r="E4463" s="4">
        <f>[1]Source!AQ5487</f>
        <v>0.03</v>
      </c>
      <c r="F4463" s="33"/>
      <c r="G4463" s="34" t="str">
        <f>[1]Source!DI5487</f>
        <v>)*3</v>
      </c>
      <c r="H4463" s="4">
        <f>[1]Source!AV5487</f>
        <v>1</v>
      </c>
      <c r="I4463" s="4"/>
      <c r="J4463" s="33"/>
      <c r="K4463" s="33">
        <f>[1]Source!U5487</f>
        <v>-23.265000000000001</v>
      </c>
      <c r="M4463"/>
      <c r="N4463"/>
      <c r="O4463"/>
      <c r="P4463"/>
      <c r="Q4463"/>
    </row>
    <row r="4464" spans="1:33" ht="15" x14ac:dyDescent="0.25">
      <c r="A4464" s="35"/>
      <c r="B4464" s="35"/>
      <c r="C4464" s="35"/>
      <c r="D4464" s="35"/>
      <c r="E4464" s="35"/>
      <c r="F4464" s="35"/>
      <c r="G4464" s="35"/>
      <c r="H4464" s="35"/>
      <c r="I4464" s="36">
        <f>J4457+J4458+J4460+J4461+J4462</f>
        <v>-39563.839999999997</v>
      </c>
      <c r="J4464" s="36"/>
      <c r="K4464" s="37">
        <f>IF([1]Source!I5487&lt;&gt;0, ROUND(I4464/[1]Source!I5487, 2), 0)</f>
        <v>153.05000000000001</v>
      </c>
      <c r="M4464"/>
      <c r="N4464"/>
      <c r="O4464"/>
      <c r="P4464"/>
      <c r="Q4464"/>
      <c r="AA4464" s="38">
        <f>I4464</f>
        <v>-39563.839999999997</v>
      </c>
    </row>
    <row r="4465" spans="1:33" ht="85.5" x14ac:dyDescent="0.2">
      <c r="A4465" s="31">
        <v>556</v>
      </c>
      <c r="B4465" s="31" t="str">
        <f>[1]Source!F5488</f>
        <v>5.3-1102-25-1/1</v>
      </c>
      <c r="C4465" s="31" t="str">
        <f>[1]Source!G5488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150 м )</v>
      </c>
      <c r="D4465" s="32" t="str">
        <f>[1]Source!H5488</f>
        <v>м3</v>
      </c>
      <c r="E4465" s="4">
        <f>[1]Source!I5488</f>
        <v>258.5</v>
      </c>
      <c r="F4465" s="33"/>
      <c r="G4465" s="34"/>
      <c r="H4465" s="4"/>
      <c r="I4465" s="4"/>
      <c r="J4465" s="33"/>
      <c r="K4465" s="33"/>
      <c r="M4465"/>
      <c r="N4465"/>
      <c r="O4465"/>
      <c r="P4465"/>
      <c r="Q4465"/>
      <c r="AB4465">
        <f>ROUND(([1]Source!BZ5488/100)*ROUND(([1]Source!AF5488*[1]Source!AV5488)*[1]Source!I5488, 2), 2)</f>
        <v>16598.55</v>
      </c>
      <c r="AC4465">
        <f>[1]Source!X5488</f>
        <v>16598.55</v>
      </c>
      <c r="AD4465">
        <f>ROUND(([1]Source!CA5488/100)*ROUND(([1]Source!AF5488*[1]Source!AV5488)*[1]Source!I5488, 2), 2)</f>
        <v>2371.2199999999998</v>
      </c>
      <c r="AE4465">
        <f>[1]Source!Y5488</f>
        <v>2371.2199999999998</v>
      </c>
      <c r="AF4465">
        <f>ROUND((175/100)*ROUND(([1]Source!AE5488*[1]Source!AV5488)*[1]Source!I5488, 2), 2)</f>
        <v>83490.33</v>
      </c>
      <c r="AG4465">
        <f>ROUND((108/100)*ROUND([1]Source!CS5488*[1]Source!I5488, 2), 2)</f>
        <v>51525.46</v>
      </c>
    </row>
    <row r="4466" spans="1:33" ht="14.25" x14ac:dyDescent="0.2">
      <c r="A4466" s="31"/>
      <c r="B4466" s="31"/>
      <c r="C4466" s="31" t="s">
        <v>34</v>
      </c>
      <c r="D4466" s="32"/>
      <c r="E4466" s="4"/>
      <c r="F4466" s="33">
        <f>[1]Source!AO5488</f>
        <v>91.73</v>
      </c>
      <c r="G4466" s="34" t="str">
        <f>[1]Source!DG5488</f>
        <v>)*1</v>
      </c>
      <c r="H4466" s="4">
        <f>[1]Source!AV5488</f>
        <v>1</v>
      </c>
      <c r="I4466" s="4">
        <f>IF([1]Source!BA5488&lt;&gt; 0, [1]Source!BA5488, 1)</f>
        <v>1</v>
      </c>
      <c r="J4466" s="33">
        <f>[1]Source!S5488</f>
        <v>23712.21</v>
      </c>
      <c r="K4466" s="33"/>
      <c r="M4466"/>
      <c r="N4466"/>
      <c r="O4466"/>
      <c r="P4466"/>
      <c r="Q4466"/>
    </row>
    <row r="4467" spans="1:33" ht="14.25" x14ac:dyDescent="0.2">
      <c r="A4467" s="31"/>
      <c r="B4467" s="31"/>
      <c r="C4467" s="31" t="s">
        <v>33</v>
      </c>
      <c r="D4467" s="32"/>
      <c r="E4467" s="4"/>
      <c r="F4467" s="33">
        <f>[1]Source!AM5488</f>
        <v>382.15</v>
      </c>
      <c r="G4467" s="34" t="str">
        <f>[1]Source!DE5488</f>
        <v>)*1</v>
      </c>
      <c r="H4467" s="4">
        <f>[1]Source!AV5488</f>
        <v>1</v>
      </c>
      <c r="I4467" s="4">
        <f>IF([1]Source!BB5488&lt;&gt; 0, [1]Source!BB5488, 1)</f>
        <v>1</v>
      </c>
      <c r="J4467" s="33">
        <f>[1]Source!Q5488</f>
        <v>98785.78</v>
      </c>
      <c r="K4467" s="33"/>
      <c r="M4467"/>
      <c r="N4467"/>
      <c r="O4467"/>
      <c r="P4467"/>
      <c r="Q4467"/>
    </row>
    <row r="4468" spans="1:33" ht="14.25" x14ac:dyDescent="0.2">
      <c r="A4468" s="31"/>
      <c r="B4468" s="31"/>
      <c r="C4468" s="31" t="s">
        <v>37</v>
      </c>
      <c r="D4468" s="32"/>
      <c r="E4468" s="4"/>
      <c r="F4468" s="33">
        <f>[1]Source!AN5488</f>
        <v>184.56</v>
      </c>
      <c r="G4468" s="34" t="str">
        <f>[1]Source!DF5488</f>
        <v>)*1</v>
      </c>
      <c r="H4468" s="4">
        <f>[1]Source!AV5488</f>
        <v>1</v>
      </c>
      <c r="I4468" s="4">
        <f>IF([1]Source!BS5488&lt;&gt; 0, [1]Source!BS5488, 1)</f>
        <v>1</v>
      </c>
      <c r="J4468" s="41">
        <f>[1]Source!R5488</f>
        <v>47708.76</v>
      </c>
      <c r="K4468" s="33"/>
      <c r="M4468"/>
      <c r="N4468"/>
      <c r="O4468"/>
      <c r="P4468"/>
      <c r="Q4468"/>
    </row>
    <row r="4469" spans="1:33" ht="14.25" x14ac:dyDescent="0.2">
      <c r="A4469" s="31"/>
      <c r="B4469" s="31"/>
      <c r="C4469" s="31" t="s">
        <v>40</v>
      </c>
      <c r="D4469" s="32" t="s">
        <v>39</v>
      </c>
      <c r="E4469" s="4">
        <f>[1]Source!AT5488</f>
        <v>70</v>
      </c>
      <c r="F4469" s="33"/>
      <c r="G4469" s="34"/>
      <c r="H4469" s="4"/>
      <c r="I4469" s="4"/>
      <c r="J4469" s="33">
        <f>SUM(AC4465:AC4468)</f>
        <v>16598.55</v>
      </c>
      <c r="K4469" s="33"/>
      <c r="M4469"/>
      <c r="N4469"/>
      <c r="O4469"/>
      <c r="P4469"/>
      <c r="Q4469"/>
    </row>
    <row r="4470" spans="1:33" ht="14.25" x14ac:dyDescent="0.2">
      <c r="A4470" s="31"/>
      <c r="B4470" s="31"/>
      <c r="C4470" s="31" t="s">
        <v>41</v>
      </c>
      <c r="D4470" s="32" t="s">
        <v>39</v>
      </c>
      <c r="E4470" s="4">
        <f>[1]Source!AU5488</f>
        <v>10</v>
      </c>
      <c r="F4470" s="33"/>
      <c r="G4470" s="34"/>
      <c r="H4470" s="4"/>
      <c r="I4470" s="4"/>
      <c r="J4470" s="33">
        <f>SUM(AE4465:AE4469)</f>
        <v>2371.2199999999998</v>
      </c>
      <c r="K4470" s="33"/>
      <c r="M4470"/>
      <c r="N4470"/>
      <c r="O4470"/>
      <c r="P4470"/>
      <c r="Q4470"/>
    </row>
    <row r="4471" spans="1:33" ht="14.25" x14ac:dyDescent="0.2">
      <c r="A4471" s="31"/>
      <c r="B4471" s="31"/>
      <c r="C4471" s="31" t="s">
        <v>38</v>
      </c>
      <c r="D4471" s="32" t="s">
        <v>39</v>
      </c>
      <c r="E4471" s="4">
        <f>108</f>
        <v>108</v>
      </c>
      <c r="F4471" s="33"/>
      <c r="G4471" s="34"/>
      <c r="H4471" s="4"/>
      <c r="I4471" s="4"/>
      <c r="J4471" s="33">
        <f>SUM(AG4465:AG4470)</f>
        <v>51525.46</v>
      </c>
      <c r="K4471" s="33"/>
      <c r="M4471"/>
      <c r="N4471"/>
      <c r="O4471"/>
      <c r="P4471"/>
      <c r="Q4471"/>
    </row>
    <row r="4472" spans="1:33" ht="14.25" x14ac:dyDescent="0.2">
      <c r="A4472" s="31"/>
      <c r="B4472" s="31"/>
      <c r="C4472" s="31" t="s">
        <v>42</v>
      </c>
      <c r="D4472" s="32" t="s">
        <v>43</v>
      </c>
      <c r="E4472" s="4">
        <f>[1]Source!AQ5488</f>
        <v>0.37</v>
      </c>
      <c r="F4472" s="33"/>
      <c r="G4472" s="34" t="str">
        <f>[1]Source!DI5488</f>
        <v>)*1</v>
      </c>
      <c r="H4472" s="4">
        <f>[1]Source!AV5488</f>
        <v>1</v>
      </c>
      <c r="I4472" s="4"/>
      <c r="J4472" s="33"/>
      <c r="K4472" s="33">
        <f>[1]Source!U5488</f>
        <v>95.644999999999996</v>
      </c>
      <c r="M4472"/>
      <c r="N4472"/>
      <c r="O4472"/>
      <c r="P4472"/>
      <c r="Q4472"/>
    </row>
    <row r="4473" spans="1:33" ht="15" x14ac:dyDescent="0.25">
      <c r="A4473" s="35"/>
      <c r="B4473" s="35"/>
      <c r="C4473" s="35"/>
      <c r="D4473" s="35"/>
      <c r="E4473" s="35"/>
      <c r="F4473" s="35"/>
      <c r="G4473" s="35"/>
      <c r="H4473" s="35"/>
      <c r="I4473" s="36">
        <f>J4466+J4467+J4469+J4470+J4471</f>
        <v>192993.21999999997</v>
      </c>
      <c r="J4473" s="36"/>
      <c r="K4473" s="37">
        <f>IF([1]Source!I5488&lt;&gt;0, ROUND(I4473/[1]Source!I5488, 2), 0)</f>
        <v>746.59</v>
      </c>
      <c r="M4473"/>
      <c r="N4473"/>
      <c r="O4473"/>
      <c r="P4473"/>
      <c r="Q4473"/>
      <c r="AA4473" s="38">
        <f>I4473</f>
        <v>192993.21999999997</v>
      </c>
    </row>
    <row r="4474" spans="1:33" ht="85.5" x14ac:dyDescent="0.2">
      <c r="A4474" s="31">
        <v>557</v>
      </c>
      <c r="B4474" s="31" t="str">
        <f>[1]Source!F5489</f>
        <v>5.3-1102-25-2/1</v>
      </c>
      <c r="C4474" s="31" t="str">
        <f>[1]Source!G5489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474" s="32" t="str">
        <f>[1]Source!H5489</f>
        <v>м3</v>
      </c>
      <c r="E4474" s="4">
        <f>[1]Source!I5489</f>
        <v>-256.5</v>
      </c>
      <c r="F4474" s="33"/>
      <c r="G4474" s="34"/>
      <c r="H4474" s="4"/>
      <c r="I4474" s="4"/>
      <c r="J4474" s="33"/>
      <c r="K4474" s="33"/>
      <c r="M4474"/>
      <c r="N4474"/>
      <c r="O4474"/>
      <c r="P4474"/>
      <c r="Q4474"/>
      <c r="AB4474">
        <f>ROUND(([1]Source!BZ5489/100)*ROUND(([1]Source!AF5489*[1]Source!AV5489)*[1]Source!I5489, 2), 2)</f>
        <v>-2671.7</v>
      </c>
      <c r="AC4474">
        <f>[1]Source!X5489</f>
        <v>-2671.7</v>
      </c>
      <c r="AD4474">
        <f>ROUND(([1]Source!CA5489/100)*ROUND(([1]Source!AF5489*[1]Source!AV5489)*[1]Source!I5489, 2), 2)</f>
        <v>-381.67</v>
      </c>
      <c r="AE4474">
        <f>[1]Source!Y5489</f>
        <v>-381.67</v>
      </c>
      <c r="AF4474">
        <f>ROUND((175/100)*ROUND(([1]Source!AE5489*[1]Source!AV5489)*[1]Source!I5489, 2), 2)</f>
        <v>-10719.14</v>
      </c>
      <c r="AG4474">
        <f>ROUND((108/100)*ROUND([1]Source!CS5489*[1]Source!I5489, 2), 2)</f>
        <v>-6615.24</v>
      </c>
    </row>
    <row r="4475" spans="1:33" ht="14.25" x14ac:dyDescent="0.2">
      <c r="A4475" s="31"/>
      <c r="B4475" s="31"/>
      <c r="C4475" s="31" t="s">
        <v>34</v>
      </c>
      <c r="D4475" s="32"/>
      <c r="E4475" s="4"/>
      <c r="F4475" s="33">
        <f>[1]Source!AO5489</f>
        <v>7.44</v>
      </c>
      <c r="G4475" s="34" t="str">
        <f>[1]Source!DG5489</f>
        <v>)*2</v>
      </c>
      <c r="H4475" s="4">
        <f>[1]Source!AV5489</f>
        <v>1</v>
      </c>
      <c r="I4475" s="4">
        <f>IF([1]Source!BA5489&lt;&gt; 0, [1]Source!BA5489, 1)</f>
        <v>1</v>
      </c>
      <c r="J4475" s="33">
        <f>[1]Source!S5489</f>
        <v>-3816.72</v>
      </c>
      <c r="K4475" s="33"/>
      <c r="M4475"/>
      <c r="N4475"/>
      <c r="O4475"/>
      <c r="P4475"/>
      <c r="Q4475"/>
    </row>
    <row r="4476" spans="1:33" ht="14.25" x14ac:dyDescent="0.2">
      <c r="A4476" s="31"/>
      <c r="B4476" s="31"/>
      <c r="C4476" s="31" t="s">
        <v>33</v>
      </c>
      <c r="D4476" s="32"/>
      <c r="E4476" s="4"/>
      <c r="F4476" s="33">
        <f>[1]Source!AM5489</f>
        <v>24.73</v>
      </c>
      <c r="G4476" s="34" t="str">
        <f>[1]Source!DE5489</f>
        <v>)*2</v>
      </c>
      <c r="H4476" s="4">
        <f>[1]Source!AV5489</f>
        <v>1</v>
      </c>
      <c r="I4476" s="4">
        <f>IF([1]Source!BB5489&lt;&gt; 0, [1]Source!BB5489, 1)</f>
        <v>1</v>
      </c>
      <c r="J4476" s="33">
        <f>[1]Source!Q5489</f>
        <v>-12686.49</v>
      </c>
      <c r="K4476" s="33"/>
      <c r="M4476"/>
      <c r="N4476"/>
      <c r="O4476"/>
      <c r="P4476"/>
      <c r="Q4476"/>
    </row>
    <row r="4477" spans="1:33" ht="14.25" x14ac:dyDescent="0.2">
      <c r="A4477" s="31"/>
      <c r="B4477" s="31"/>
      <c r="C4477" s="31" t="s">
        <v>37</v>
      </c>
      <c r="D4477" s="32"/>
      <c r="E4477" s="4"/>
      <c r="F4477" s="33">
        <f>[1]Source!AN5489</f>
        <v>11.94</v>
      </c>
      <c r="G4477" s="34" t="str">
        <f>[1]Source!DF5489</f>
        <v>)*2</v>
      </c>
      <c r="H4477" s="4">
        <f>[1]Source!AV5489</f>
        <v>1</v>
      </c>
      <c r="I4477" s="4">
        <f>IF([1]Source!BS5489&lt;&gt; 0, [1]Source!BS5489, 1)</f>
        <v>1</v>
      </c>
      <c r="J4477" s="41">
        <f>[1]Source!R5489</f>
        <v>-6125.22</v>
      </c>
      <c r="K4477" s="33"/>
      <c r="M4477"/>
      <c r="N4477"/>
      <c r="O4477"/>
      <c r="P4477"/>
      <c r="Q4477"/>
    </row>
    <row r="4478" spans="1:33" ht="14.25" x14ac:dyDescent="0.2">
      <c r="A4478" s="31"/>
      <c r="B4478" s="31"/>
      <c r="C4478" s="31" t="s">
        <v>40</v>
      </c>
      <c r="D4478" s="32" t="s">
        <v>39</v>
      </c>
      <c r="E4478" s="4">
        <f>[1]Source!AT5489</f>
        <v>70</v>
      </c>
      <c r="F4478" s="33"/>
      <c r="G4478" s="34"/>
      <c r="H4478" s="4"/>
      <c r="I4478" s="4"/>
      <c r="J4478" s="33">
        <f>SUM(AC4474:AC4477)</f>
        <v>-2671.7</v>
      </c>
      <c r="K4478" s="33"/>
      <c r="M4478"/>
      <c r="N4478"/>
      <c r="O4478"/>
      <c r="P4478"/>
      <c r="Q4478"/>
    </row>
    <row r="4479" spans="1:33" ht="14.25" x14ac:dyDescent="0.2">
      <c r="A4479" s="31"/>
      <c r="B4479" s="31"/>
      <c r="C4479" s="31" t="s">
        <v>41</v>
      </c>
      <c r="D4479" s="32" t="s">
        <v>39</v>
      </c>
      <c r="E4479" s="4">
        <f>[1]Source!AU5489</f>
        <v>10</v>
      </c>
      <c r="F4479" s="33"/>
      <c r="G4479" s="34"/>
      <c r="H4479" s="4"/>
      <c r="I4479" s="4"/>
      <c r="J4479" s="33">
        <f>SUM(AE4474:AE4478)</f>
        <v>-381.67</v>
      </c>
      <c r="K4479" s="33"/>
      <c r="M4479"/>
      <c r="N4479"/>
      <c r="O4479"/>
      <c r="P4479"/>
      <c r="Q4479"/>
    </row>
    <row r="4480" spans="1:33" ht="14.25" x14ac:dyDescent="0.2">
      <c r="A4480" s="31"/>
      <c r="B4480" s="31"/>
      <c r="C4480" s="31" t="s">
        <v>38</v>
      </c>
      <c r="D4480" s="32" t="s">
        <v>39</v>
      </c>
      <c r="E4480" s="4">
        <f>108</f>
        <v>108</v>
      </c>
      <c r="F4480" s="33"/>
      <c r="G4480" s="34"/>
      <c r="H4480" s="4"/>
      <c r="I4480" s="4"/>
      <c r="J4480" s="33">
        <f>SUM(AG4474:AG4479)</f>
        <v>-6615.24</v>
      </c>
      <c r="K4480" s="33"/>
      <c r="M4480"/>
      <c r="N4480"/>
      <c r="O4480"/>
      <c r="P4480"/>
      <c r="Q4480"/>
    </row>
    <row r="4481" spans="1:33" ht="14.25" x14ac:dyDescent="0.2">
      <c r="A4481" s="31"/>
      <c r="B4481" s="31"/>
      <c r="C4481" s="31" t="s">
        <v>42</v>
      </c>
      <c r="D4481" s="32" t="s">
        <v>43</v>
      </c>
      <c r="E4481" s="4">
        <f>[1]Source!AQ5489</f>
        <v>0.03</v>
      </c>
      <c r="F4481" s="33"/>
      <c r="G4481" s="34" t="str">
        <f>[1]Source!DI5489</f>
        <v>)*2</v>
      </c>
      <c r="H4481" s="4">
        <f>[1]Source!AV5489</f>
        <v>1</v>
      </c>
      <c r="I4481" s="4"/>
      <c r="J4481" s="33"/>
      <c r="K4481" s="33">
        <f>[1]Source!U5489</f>
        <v>-15.389999999999999</v>
      </c>
      <c r="M4481"/>
      <c r="N4481"/>
      <c r="O4481"/>
      <c r="P4481"/>
      <c r="Q4481"/>
    </row>
    <row r="4482" spans="1:33" ht="15" x14ac:dyDescent="0.25">
      <c r="A4482" s="35"/>
      <c r="B4482" s="35"/>
      <c r="C4482" s="35"/>
      <c r="D4482" s="35"/>
      <c r="E4482" s="35"/>
      <c r="F4482" s="35"/>
      <c r="G4482" s="35"/>
      <c r="H4482" s="35"/>
      <c r="I4482" s="36">
        <f>J4475+J4476+J4478+J4479+J4480</f>
        <v>-26171.82</v>
      </c>
      <c r="J4482" s="36"/>
      <c r="K4482" s="37">
        <f>IF([1]Source!I5489&lt;&gt;0, ROUND(I4482/[1]Source!I5489, 2), 0)</f>
        <v>102.03</v>
      </c>
      <c r="M4482"/>
      <c r="N4482"/>
      <c r="O4482"/>
      <c r="P4482"/>
      <c r="Q4482"/>
      <c r="AA4482" s="38">
        <f>I4482</f>
        <v>-26171.82</v>
      </c>
    </row>
    <row r="4483" spans="1:33" ht="85.5" x14ac:dyDescent="0.2">
      <c r="A4483" s="31">
        <v>558</v>
      </c>
      <c r="B4483" s="31" t="str">
        <f>[1]Source!F5490</f>
        <v>5.3-1102-25-1/1</v>
      </c>
      <c r="C4483" s="31" t="str">
        <f>[1]Source!G5490</f>
        <v>Сбор и перемещение снега и скола к месту временного размещения механизированным способом, объем ковша погрузчика до 0,5 м3 - перемещение на 250 м( перемещение 200 м )</v>
      </c>
      <c r="D4483" s="32" t="str">
        <f>[1]Source!H5490</f>
        <v>м3</v>
      </c>
      <c r="E4483" s="4">
        <f>[1]Source!I5490</f>
        <v>258.5</v>
      </c>
      <c r="F4483" s="33"/>
      <c r="G4483" s="34"/>
      <c r="H4483" s="4"/>
      <c r="I4483" s="4"/>
      <c r="J4483" s="33"/>
      <c r="K4483" s="33"/>
      <c r="M4483"/>
      <c r="N4483"/>
      <c r="O4483"/>
      <c r="P4483"/>
      <c r="Q4483"/>
      <c r="AB4483">
        <f>ROUND(([1]Source!BZ5490/100)*ROUND(([1]Source!AF5490*[1]Source!AV5490)*[1]Source!I5490, 2), 2)</f>
        <v>16598.55</v>
      </c>
      <c r="AC4483">
        <f>[1]Source!X5490</f>
        <v>16598.55</v>
      </c>
      <c r="AD4483">
        <f>ROUND(([1]Source!CA5490/100)*ROUND(([1]Source!AF5490*[1]Source!AV5490)*[1]Source!I5490, 2), 2)</f>
        <v>2371.2199999999998</v>
      </c>
      <c r="AE4483">
        <f>[1]Source!Y5490</f>
        <v>2371.2199999999998</v>
      </c>
      <c r="AF4483">
        <f>ROUND((175/100)*ROUND(([1]Source!AE5490*[1]Source!AV5490)*[1]Source!I5490, 2), 2)</f>
        <v>83490.33</v>
      </c>
      <c r="AG4483">
        <f>ROUND((108/100)*ROUND([1]Source!CS5490*[1]Source!I5490, 2), 2)</f>
        <v>51525.46</v>
      </c>
    </row>
    <row r="4484" spans="1:33" ht="14.25" x14ac:dyDescent="0.2">
      <c r="A4484" s="31"/>
      <c r="B4484" s="31"/>
      <c r="C4484" s="31" t="s">
        <v>34</v>
      </c>
      <c r="D4484" s="32"/>
      <c r="E4484" s="4"/>
      <c r="F4484" s="33">
        <f>[1]Source!AO5490</f>
        <v>91.73</v>
      </c>
      <c r="G4484" s="34" t="str">
        <f>[1]Source!DG5490</f>
        <v>)*1</v>
      </c>
      <c r="H4484" s="4">
        <f>[1]Source!AV5490</f>
        <v>1</v>
      </c>
      <c r="I4484" s="4">
        <f>IF([1]Source!BA5490&lt;&gt; 0, [1]Source!BA5490, 1)</f>
        <v>1</v>
      </c>
      <c r="J4484" s="33">
        <f>[1]Source!S5490</f>
        <v>23712.21</v>
      </c>
      <c r="K4484" s="33"/>
      <c r="M4484"/>
      <c r="N4484"/>
      <c r="O4484"/>
      <c r="P4484"/>
      <c r="Q4484"/>
    </row>
    <row r="4485" spans="1:33" ht="14.25" x14ac:dyDescent="0.2">
      <c r="A4485" s="31"/>
      <c r="B4485" s="31"/>
      <c r="C4485" s="31" t="s">
        <v>33</v>
      </c>
      <c r="D4485" s="32"/>
      <c r="E4485" s="4"/>
      <c r="F4485" s="33">
        <f>[1]Source!AM5490</f>
        <v>382.15</v>
      </c>
      <c r="G4485" s="34" t="str">
        <f>[1]Source!DE5490</f>
        <v>)*1</v>
      </c>
      <c r="H4485" s="4">
        <f>[1]Source!AV5490</f>
        <v>1</v>
      </c>
      <c r="I4485" s="4">
        <f>IF([1]Source!BB5490&lt;&gt; 0, [1]Source!BB5490, 1)</f>
        <v>1</v>
      </c>
      <c r="J4485" s="33">
        <f>[1]Source!Q5490</f>
        <v>98785.78</v>
      </c>
      <c r="K4485" s="33"/>
      <c r="M4485"/>
      <c r="N4485"/>
      <c r="O4485"/>
      <c r="P4485"/>
      <c r="Q4485"/>
    </row>
    <row r="4486" spans="1:33" ht="14.25" x14ac:dyDescent="0.2">
      <c r="A4486" s="31"/>
      <c r="B4486" s="31"/>
      <c r="C4486" s="31" t="s">
        <v>37</v>
      </c>
      <c r="D4486" s="32"/>
      <c r="E4486" s="4"/>
      <c r="F4486" s="33">
        <f>[1]Source!AN5490</f>
        <v>184.56</v>
      </c>
      <c r="G4486" s="34" t="str">
        <f>[1]Source!DF5490</f>
        <v>)*1</v>
      </c>
      <c r="H4486" s="4">
        <f>[1]Source!AV5490</f>
        <v>1</v>
      </c>
      <c r="I4486" s="4">
        <f>IF([1]Source!BS5490&lt;&gt; 0, [1]Source!BS5490, 1)</f>
        <v>1</v>
      </c>
      <c r="J4486" s="41">
        <f>[1]Source!R5490</f>
        <v>47708.76</v>
      </c>
      <c r="K4486" s="33"/>
      <c r="M4486"/>
      <c r="N4486"/>
      <c r="O4486"/>
      <c r="P4486"/>
      <c r="Q4486"/>
    </row>
    <row r="4487" spans="1:33" ht="14.25" x14ac:dyDescent="0.2">
      <c r="A4487" s="31"/>
      <c r="B4487" s="31"/>
      <c r="C4487" s="31" t="s">
        <v>40</v>
      </c>
      <c r="D4487" s="32" t="s">
        <v>39</v>
      </c>
      <c r="E4487" s="4">
        <f>[1]Source!AT5490</f>
        <v>70</v>
      </c>
      <c r="F4487" s="33"/>
      <c r="G4487" s="34"/>
      <c r="H4487" s="4"/>
      <c r="I4487" s="4"/>
      <c r="J4487" s="33">
        <f>SUM(AC4483:AC4486)</f>
        <v>16598.55</v>
      </c>
      <c r="K4487" s="33"/>
      <c r="M4487"/>
      <c r="N4487"/>
      <c r="O4487"/>
      <c r="P4487"/>
      <c r="Q4487"/>
    </row>
    <row r="4488" spans="1:33" ht="14.25" x14ac:dyDescent="0.2">
      <c r="A4488" s="31"/>
      <c r="B4488" s="31"/>
      <c r="C4488" s="31" t="s">
        <v>41</v>
      </c>
      <c r="D4488" s="32" t="s">
        <v>39</v>
      </c>
      <c r="E4488" s="4">
        <f>[1]Source!AU5490</f>
        <v>10</v>
      </c>
      <c r="F4488" s="33"/>
      <c r="G4488" s="34"/>
      <c r="H4488" s="4"/>
      <c r="I4488" s="4"/>
      <c r="J4488" s="33">
        <f>SUM(AE4483:AE4487)</f>
        <v>2371.2199999999998</v>
      </c>
      <c r="K4488" s="33"/>
      <c r="M4488"/>
      <c r="N4488"/>
      <c r="O4488"/>
      <c r="P4488"/>
      <c r="Q4488"/>
    </row>
    <row r="4489" spans="1:33" ht="14.25" x14ac:dyDescent="0.2">
      <c r="A4489" s="31"/>
      <c r="B4489" s="31"/>
      <c r="C4489" s="31" t="s">
        <v>38</v>
      </c>
      <c r="D4489" s="32" t="s">
        <v>39</v>
      </c>
      <c r="E4489" s="4">
        <f>108</f>
        <v>108</v>
      </c>
      <c r="F4489" s="33"/>
      <c r="G4489" s="34"/>
      <c r="H4489" s="4"/>
      <c r="I4489" s="4"/>
      <c r="J4489" s="33">
        <f>SUM(AG4483:AG4488)</f>
        <v>51525.46</v>
      </c>
      <c r="K4489" s="33"/>
      <c r="M4489"/>
      <c r="N4489"/>
      <c r="O4489"/>
      <c r="P4489"/>
      <c r="Q4489"/>
    </row>
    <row r="4490" spans="1:33" ht="14.25" x14ac:dyDescent="0.2">
      <c r="A4490" s="31"/>
      <c r="B4490" s="31"/>
      <c r="C4490" s="31" t="s">
        <v>42</v>
      </c>
      <c r="D4490" s="32" t="s">
        <v>43</v>
      </c>
      <c r="E4490" s="4">
        <f>[1]Source!AQ5490</f>
        <v>0.37</v>
      </c>
      <c r="F4490" s="33"/>
      <c r="G4490" s="34" t="str">
        <f>[1]Source!DI5490</f>
        <v>)*1</v>
      </c>
      <c r="H4490" s="4">
        <f>[1]Source!AV5490</f>
        <v>1</v>
      </c>
      <c r="I4490" s="4"/>
      <c r="J4490" s="33"/>
      <c r="K4490" s="33">
        <f>[1]Source!U5490</f>
        <v>95.644999999999996</v>
      </c>
      <c r="M4490"/>
      <c r="N4490"/>
      <c r="O4490"/>
      <c r="P4490"/>
      <c r="Q4490"/>
    </row>
    <row r="4491" spans="1:33" ht="15" x14ac:dyDescent="0.25">
      <c r="A4491" s="35"/>
      <c r="B4491" s="35"/>
      <c r="C4491" s="35"/>
      <c r="D4491" s="35"/>
      <c r="E4491" s="35"/>
      <c r="F4491" s="35"/>
      <c r="G4491" s="35"/>
      <c r="H4491" s="35"/>
      <c r="I4491" s="36">
        <f>J4484+J4485+J4487+J4488+J4489</f>
        <v>192993.21999999997</v>
      </c>
      <c r="J4491" s="36"/>
      <c r="K4491" s="37">
        <f>IF([1]Source!I5490&lt;&gt;0, ROUND(I4491/[1]Source!I5490, 2), 0)</f>
        <v>746.59</v>
      </c>
      <c r="M4491"/>
      <c r="N4491"/>
      <c r="O4491"/>
      <c r="P4491"/>
      <c r="Q4491"/>
      <c r="AA4491" s="38">
        <f>I4491</f>
        <v>192993.21999999997</v>
      </c>
    </row>
    <row r="4492" spans="1:33" ht="85.5" x14ac:dyDescent="0.2">
      <c r="A4492" s="31">
        <v>559</v>
      </c>
      <c r="B4492" s="31" t="str">
        <f>[1]Source!F5491</f>
        <v>5.3-1102-25-2/1</v>
      </c>
      <c r="C4492" s="31" t="str">
        <f>[1]Source!G5491</f>
        <v>Сбор и перемещение снега и скола к месту временного размещения механизированным способом, объем ковша погрузчика до 0,5 м3 - добавлять или исключать на каждые 50 м к 3-1102-25-1</v>
      </c>
      <c r="D4492" s="32" t="str">
        <f>[1]Source!H5491</f>
        <v>м3</v>
      </c>
      <c r="E4492" s="4">
        <f>[1]Source!I5491</f>
        <v>-258.5</v>
      </c>
      <c r="F4492" s="33"/>
      <c r="G4492" s="34"/>
      <c r="H4492" s="4"/>
      <c r="I4492" s="4"/>
      <c r="J4492" s="33"/>
      <c r="K4492" s="33"/>
      <c r="M4492"/>
      <c r="N4492"/>
      <c r="O4492"/>
      <c r="P4492"/>
      <c r="Q4492"/>
      <c r="AB4492">
        <f>ROUND(([1]Source!BZ5491/100)*ROUND(([1]Source!AF5491*[1]Source!AV5491)*[1]Source!I5491, 2), 2)</f>
        <v>-1346.27</v>
      </c>
      <c r="AC4492">
        <f>[1]Source!X5491</f>
        <v>-1346.27</v>
      </c>
      <c r="AD4492">
        <f>ROUND(([1]Source!CA5491/100)*ROUND(([1]Source!AF5491*[1]Source!AV5491)*[1]Source!I5491, 2), 2)</f>
        <v>-192.32</v>
      </c>
      <c r="AE4492">
        <f>[1]Source!Y5491</f>
        <v>-192.32</v>
      </c>
      <c r="AF4492">
        <f>ROUND((175/100)*ROUND(([1]Source!AE5491*[1]Source!AV5491)*[1]Source!I5491, 2), 2)</f>
        <v>-5401.36</v>
      </c>
      <c r="AG4492">
        <f>ROUND((108/100)*ROUND([1]Source!CS5491*[1]Source!I5491, 2), 2)</f>
        <v>-3333.41</v>
      </c>
    </row>
    <row r="4493" spans="1:33" ht="14.25" x14ac:dyDescent="0.2">
      <c r="A4493" s="31"/>
      <c r="B4493" s="31"/>
      <c r="C4493" s="31" t="s">
        <v>34</v>
      </c>
      <c r="D4493" s="32"/>
      <c r="E4493" s="4"/>
      <c r="F4493" s="33">
        <f>[1]Source!AO5491</f>
        <v>7.44</v>
      </c>
      <c r="G4493" s="34" t="str">
        <f>[1]Source!DG5491</f>
        <v>)*1</v>
      </c>
      <c r="H4493" s="4">
        <f>[1]Source!AV5491</f>
        <v>1</v>
      </c>
      <c r="I4493" s="4">
        <f>IF([1]Source!BA5491&lt;&gt; 0, [1]Source!BA5491, 1)</f>
        <v>1</v>
      </c>
      <c r="J4493" s="33">
        <f>[1]Source!S5491</f>
        <v>-1923.24</v>
      </c>
      <c r="K4493" s="33"/>
      <c r="M4493"/>
      <c r="N4493"/>
      <c r="O4493"/>
      <c r="P4493"/>
      <c r="Q4493"/>
    </row>
    <row r="4494" spans="1:33" ht="14.25" x14ac:dyDescent="0.2">
      <c r="A4494" s="31"/>
      <c r="B4494" s="31"/>
      <c r="C4494" s="31" t="s">
        <v>33</v>
      </c>
      <c r="D4494" s="32"/>
      <c r="E4494" s="4"/>
      <c r="F4494" s="33">
        <f>[1]Source!AM5491</f>
        <v>24.73</v>
      </c>
      <c r="G4494" s="34" t="str">
        <f>[1]Source!DE5491</f>
        <v>)*1</v>
      </c>
      <c r="H4494" s="4">
        <f>[1]Source!AV5491</f>
        <v>1</v>
      </c>
      <c r="I4494" s="4">
        <f>IF([1]Source!BB5491&lt;&gt; 0, [1]Source!BB5491, 1)</f>
        <v>1</v>
      </c>
      <c r="J4494" s="33">
        <f>[1]Source!Q5491</f>
        <v>-6392.71</v>
      </c>
      <c r="K4494" s="33"/>
      <c r="M4494"/>
      <c r="N4494"/>
      <c r="O4494"/>
      <c r="P4494"/>
      <c r="Q4494"/>
    </row>
    <row r="4495" spans="1:33" ht="14.25" x14ac:dyDescent="0.2">
      <c r="A4495" s="31"/>
      <c r="B4495" s="31"/>
      <c r="C4495" s="31" t="s">
        <v>37</v>
      </c>
      <c r="D4495" s="32"/>
      <c r="E4495" s="4"/>
      <c r="F4495" s="33">
        <f>[1]Source!AN5491</f>
        <v>11.94</v>
      </c>
      <c r="G4495" s="34" t="str">
        <f>[1]Source!DF5491</f>
        <v>)*1</v>
      </c>
      <c r="H4495" s="4">
        <f>[1]Source!AV5491</f>
        <v>1</v>
      </c>
      <c r="I4495" s="4">
        <f>IF([1]Source!BS5491&lt;&gt; 0, [1]Source!BS5491, 1)</f>
        <v>1</v>
      </c>
      <c r="J4495" s="41">
        <f>[1]Source!R5491</f>
        <v>-3086.49</v>
      </c>
      <c r="K4495" s="33"/>
      <c r="M4495"/>
      <c r="N4495"/>
      <c r="O4495"/>
      <c r="P4495"/>
      <c r="Q4495"/>
    </row>
    <row r="4496" spans="1:33" ht="14.25" x14ac:dyDescent="0.2">
      <c r="A4496" s="31"/>
      <c r="B4496" s="31"/>
      <c r="C4496" s="31" t="s">
        <v>40</v>
      </c>
      <c r="D4496" s="32" t="s">
        <v>39</v>
      </c>
      <c r="E4496" s="4">
        <f>[1]Source!AT5491</f>
        <v>70</v>
      </c>
      <c r="F4496" s="33"/>
      <c r="G4496" s="34"/>
      <c r="H4496" s="4"/>
      <c r="I4496" s="4"/>
      <c r="J4496" s="33">
        <f>SUM(AC4492:AC4495)</f>
        <v>-1346.27</v>
      </c>
      <c r="K4496" s="33"/>
      <c r="M4496"/>
      <c r="N4496"/>
      <c r="O4496"/>
      <c r="P4496"/>
      <c r="Q4496"/>
    </row>
    <row r="4497" spans="1:43" ht="14.25" x14ac:dyDescent="0.2">
      <c r="A4497" s="31"/>
      <c r="B4497" s="31"/>
      <c r="C4497" s="31" t="s">
        <v>41</v>
      </c>
      <c r="D4497" s="32" t="s">
        <v>39</v>
      </c>
      <c r="E4497" s="4">
        <f>[1]Source!AU5491</f>
        <v>10</v>
      </c>
      <c r="F4497" s="33"/>
      <c r="G4497" s="34"/>
      <c r="H4497" s="4"/>
      <c r="I4497" s="4"/>
      <c r="J4497" s="33">
        <f>SUM(AE4492:AE4496)</f>
        <v>-192.32</v>
      </c>
      <c r="K4497" s="33"/>
      <c r="M4497"/>
      <c r="N4497"/>
      <c r="O4497"/>
      <c r="P4497"/>
      <c r="Q4497"/>
    </row>
    <row r="4498" spans="1:43" ht="14.25" x14ac:dyDescent="0.2">
      <c r="A4498" s="31"/>
      <c r="B4498" s="31"/>
      <c r="C4498" s="31" t="s">
        <v>38</v>
      </c>
      <c r="D4498" s="32" t="s">
        <v>39</v>
      </c>
      <c r="E4498" s="4">
        <f>108</f>
        <v>108</v>
      </c>
      <c r="F4498" s="33"/>
      <c r="G4498" s="34"/>
      <c r="H4498" s="4"/>
      <c r="I4498" s="4"/>
      <c r="J4498" s="33">
        <f>SUM(AG4492:AG4497)</f>
        <v>-3333.41</v>
      </c>
      <c r="K4498" s="33"/>
      <c r="M4498"/>
      <c r="N4498"/>
      <c r="O4498"/>
      <c r="P4498"/>
      <c r="Q4498"/>
    </row>
    <row r="4499" spans="1:43" ht="14.25" x14ac:dyDescent="0.2">
      <c r="A4499" s="31"/>
      <c r="B4499" s="31"/>
      <c r="C4499" s="31" t="s">
        <v>42</v>
      </c>
      <c r="D4499" s="32" t="s">
        <v>43</v>
      </c>
      <c r="E4499" s="4">
        <f>[1]Source!AQ5491</f>
        <v>0.03</v>
      </c>
      <c r="F4499" s="33"/>
      <c r="G4499" s="34" t="str">
        <f>[1]Source!DI5491</f>
        <v>)*1</v>
      </c>
      <c r="H4499" s="4">
        <f>[1]Source!AV5491</f>
        <v>1</v>
      </c>
      <c r="I4499" s="4"/>
      <c r="J4499" s="33"/>
      <c r="K4499" s="33">
        <f>[1]Source!U5491</f>
        <v>-7.7549999999999999</v>
      </c>
      <c r="M4499"/>
      <c r="N4499"/>
      <c r="O4499"/>
      <c r="P4499"/>
      <c r="Q4499"/>
    </row>
    <row r="4500" spans="1:43" ht="15" x14ac:dyDescent="0.25">
      <c r="A4500" s="35"/>
      <c r="B4500" s="35"/>
      <c r="C4500" s="35"/>
      <c r="D4500" s="35"/>
      <c r="E4500" s="35"/>
      <c r="F4500" s="35"/>
      <c r="G4500" s="35"/>
      <c r="H4500" s="35"/>
      <c r="I4500" s="36">
        <f>J4493+J4494+J4496+J4497+J4498</f>
        <v>-13187.95</v>
      </c>
      <c r="J4500" s="36"/>
      <c r="K4500" s="37">
        <f>IF([1]Source!I5491&lt;&gt;0, ROUND(I4500/[1]Source!I5491, 2), 0)</f>
        <v>51.02</v>
      </c>
      <c r="M4500"/>
      <c r="N4500"/>
      <c r="O4500"/>
      <c r="P4500"/>
      <c r="Q4500"/>
      <c r="AA4500" s="38">
        <f>I4500</f>
        <v>-13187.95</v>
      </c>
    </row>
    <row r="4501" spans="1:43" x14ac:dyDescent="0.2">
      <c r="M4501"/>
      <c r="N4501"/>
      <c r="O4501"/>
      <c r="P4501"/>
      <c r="Q4501"/>
    </row>
    <row r="4502" spans="1:43" ht="15" x14ac:dyDescent="0.25">
      <c r="A4502" s="42" t="str">
        <f>CONCATENATE("Итого по разделу: ",IF([1]Source!G5493&lt;&gt;"Новый раздел", [1]Source!G5493, ""))</f>
        <v>Итого по разделу: Сбор и перемещение снега и скола к месту временного размещения( 2026г.)</v>
      </c>
      <c r="B4502" s="42"/>
      <c r="C4502" s="42"/>
      <c r="D4502" s="42"/>
      <c r="E4502" s="42"/>
      <c r="F4502" s="42"/>
      <c r="G4502" s="42"/>
      <c r="H4502" s="42"/>
      <c r="I4502" s="43">
        <f>SUM(AA4428:AA4501)</f>
        <v>640297.48</v>
      </c>
      <c r="J4502" s="44"/>
      <c r="K4502" s="47"/>
      <c r="L4502" s="38">
        <f>I4502</f>
        <v>640297.48</v>
      </c>
      <c r="M4502" s="2">
        <f>ROUND(I4502*$I$4874,2)</f>
        <v>462427.22</v>
      </c>
      <c r="N4502" s="2">
        <f>ROUND(M4502*1.2/105*100,2)</f>
        <v>528488.25</v>
      </c>
      <c r="O4502" s="2">
        <f>ROUND(N4502*0.05,2)</f>
        <v>26424.41</v>
      </c>
      <c r="P4502" s="2">
        <f>N4502+O4502+0.01</f>
        <v>554912.67000000004</v>
      </c>
      <c r="Q4502" s="3">
        <v>69</v>
      </c>
      <c r="R4502">
        <v>2</v>
      </c>
      <c r="S4502" s="2">
        <v>0</v>
      </c>
      <c r="AQ4502" s="46" t="str">
        <f>CONCATENATE("Итого по разделу: ",IF([1]Source!G5493&lt;&gt;"Новый раздел", [1]Source!G5493, ""))</f>
        <v>Итого по разделу: Сбор и перемещение снега и скола к месту временного размещения( 2026г.)</v>
      </c>
    </row>
    <row r="4503" spans="1:43" x14ac:dyDescent="0.2">
      <c r="M4503"/>
      <c r="N4503"/>
      <c r="O4503"/>
      <c r="P4503"/>
      <c r="Q4503"/>
    </row>
    <row r="4504" spans="1:43" x14ac:dyDescent="0.2">
      <c r="M4504"/>
      <c r="N4504"/>
      <c r="O4504"/>
      <c r="P4504"/>
      <c r="Q4504"/>
    </row>
    <row r="4505" spans="1:43" ht="15" x14ac:dyDescent="0.25">
      <c r="A4505" s="42" t="str">
        <f>CONCATENATE("Итого по локальной смете: ",IF([1]Source!G5523&lt;&gt;"Новая локальная смета", [1]Source!G5523, ""))</f>
        <v>Итого по локальной смете: Зимняя уборка территории ( доп. соглашение )</v>
      </c>
      <c r="B4505" s="42"/>
      <c r="C4505" s="42"/>
      <c r="D4505" s="42"/>
      <c r="E4505" s="42"/>
      <c r="F4505" s="42"/>
      <c r="G4505" s="42"/>
      <c r="H4505" s="42"/>
      <c r="I4505" s="43">
        <f>SUM(AA3737:AA4504)</f>
        <v>14581797.930000007</v>
      </c>
      <c r="J4505" s="44"/>
      <c r="K4505" s="47"/>
      <c r="L4505" s="38">
        <f>I4505</f>
        <v>14581797.930000007</v>
      </c>
      <c r="M4505" s="2">
        <f>ROUND(I4505*$I$4874,2)</f>
        <v>10531074.32</v>
      </c>
      <c r="N4505" s="2">
        <f>ROUND(M4505*1.2/105*100,2)</f>
        <v>12035513.51</v>
      </c>
      <c r="O4505" s="2">
        <f>ROUND(N4505*0.05,2)</f>
        <v>601775.68000000005</v>
      </c>
      <c r="P4505" s="2">
        <f>$P$4502+$P$4425+$P$4348+$P$4271+$P$4131+$P$4027+$P$3988+$P$3913</f>
        <v>12637289.17</v>
      </c>
      <c r="Q4505" s="48"/>
      <c r="R4505">
        <v>3</v>
      </c>
      <c r="Z4505" s="2">
        <f>$P$4502+$P$4425+$P$4348+$P$4271+$P$4131+$P$4027+$P$3988+$P$3913</f>
        <v>12637289.17</v>
      </c>
    </row>
    <row r="4506" spans="1:43" x14ac:dyDescent="0.2">
      <c r="M4506"/>
      <c r="N4506"/>
      <c r="O4506"/>
      <c r="P4506"/>
      <c r="Q4506"/>
    </row>
    <row r="4507" spans="1:43" x14ac:dyDescent="0.2">
      <c r="M4507"/>
      <c r="N4507"/>
      <c r="O4507"/>
      <c r="P4507"/>
      <c r="Q4507"/>
    </row>
    <row r="4508" spans="1:43" ht="16.5" x14ac:dyDescent="0.25">
      <c r="A4508" s="29" t="str">
        <f>CONCATENATE("Локальная смета: ",IF([1]Source!G5553&lt;&gt;"Новая локальная смета", [1]Source!G5553, ""))</f>
        <v>Локальная смета: Летняя уборка территории ( доп. соглашение )</v>
      </c>
      <c r="B4508" s="29"/>
      <c r="C4508" s="29"/>
      <c r="D4508" s="29"/>
      <c r="E4508" s="29"/>
      <c r="F4508" s="29"/>
      <c r="G4508" s="29"/>
      <c r="H4508" s="29"/>
      <c r="I4508" s="29"/>
      <c r="J4508" s="29"/>
      <c r="K4508" s="29"/>
      <c r="M4508"/>
      <c r="N4508"/>
      <c r="O4508"/>
      <c r="P4508"/>
      <c r="Q4508"/>
    </row>
    <row r="4509" spans="1:43" x14ac:dyDescent="0.2">
      <c r="M4509"/>
      <c r="N4509"/>
      <c r="O4509"/>
      <c r="P4509"/>
      <c r="Q4509"/>
    </row>
    <row r="4510" spans="1:43" ht="16.5" x14ac:dyDescent="0.25">
      <c r="A4510" s="29" t="str">
        <f>CONCATENATE("Раздел: ",IF([1]Source!G5557&lt;&gt;"Новый раздел", [1]Source!G5557, ""))</f>
        <v>Раздел: ул. Варварка</v>
      </c>
      <c r="B4510" s="29"/>
      <c r="C4510" s="29"/>
      <c r="D4510" s="29"/>
      <c r="E4510" s="29"/>
      <c r="F4510" s="29"/>
      <c r="G4510" s="29"/>
      <c r="H4510" s="29"/>
      <c r="I4510" s="29"/>
      <c r="J4510" s="29"/>
      <c r="K4510" s="29"/>
      <c r="M4510"/>
      <c r="N4510"/>
      <c r="O4510"/>
      <c r="P4510"/>
      <c r="Q4510"/>
    </row>
    <row r="4511" spans="1:43" x14ac:dyDescent="0.2">
      <c r="M4511"/>
      <c r="N4511"/>
      <c r="O4511"/>
      <c r="P4511"/>
      <c r="Q4511"/>
    </row>
    <row r="4512" spans="1:43" ht="33" x14ac:dyDescent="0.25">
      <c r="A4512" s="29" t="str">
        <f>CONCATENATE("Подраздел: ",IF([1]Source!G5561&lt;&gt;"Новый подраздел", [1]Source!G5561, ""))</f>
        <v>Подраздел: Содержание покрытия из гранитной плитки, пескоуловитель из фибробетона ( S=2485,6 м2+ 21,48 м2= 2507,08 м2)</v>
      </c>
      <c r="B4512" s="29"/>
      <c r="C4512" s="29"/>
      <c r="D4512" s="29"/>
      <c r="E4512" s="29"/>
      <c r="F4512" s="29"/>
      <c r="G4512" s="29"/>
      <c r="H4512" s="29"/>
      <c r="I4512" s="29"/>
      <c r="J4512" s="29"/>
      <c r="K4512" s="29"/>
      <c r="M4512"/>
      <c r="N4512"/>
      <c r="O4512"/>
      <c r="P4512"/>
      <c r="Q4512"/>
      <c r="AP4512" s="30" t="str">
        <f>CONCATENATE("Подраздел: ",IF([1]Source!G5561&lt;&gt;"Новый подраздел", [1]Source!G5561, ""))</f>
        <v>Подраздел: Содержание покрытия из гранитной плитки, пескоуловитель из фибробетона ( S=2485,6 м2+ 21,48 м2= 2507,08 м2)</v>
      </c>
    </row>
    <row r="4513" spans="1:33" ht="57" x14ac:dyDescent="0.2">
      <c r="A4513" s="31">
        <v>560</v>
      </c>
      <c r="B4513" s="31" t="str">
        <f>[1]Source!F5565</f>
        <v>5.3-1101-15-1/1</v>
      </c>
      <c r="C4513" s="31" t="str">
        <f>[1]Source!G5565</f>
        <v>Подметание тротуаров, придомовых и внутрибольничных проездов средствами малой механизации ( 2507,08 м2*0,7=1754,96м2)</v>
      </c>
      <c r="D4513" s="32" t="str">
        <f>[1]Source!H5565</f>
        <v>1000 м2</v>
      </c>
      <c r="E4513" s="4">
        <f>[1]Source!I5565</f>
        <v>1.7549600000000001</v>
      </c>
      <c r="F4513" s="33"/>
      <c r="G4513" s="34"/>
      <c r="H4513" s="4"/>
      <c r="I4513" s="4"/>
      <c r="J4513" s="33"/>
      <c r="K4513" s="33"/>
      <c r="M4513"/>
      <c r="N4513"/>
      <c r="O4513"/>
      <c r="P4513"/>
      <c r="Q4513"/>
      <c r="AB4513">
        <f>ROUND(([1]Source!BZ5565/100)*ROUND(([1]Source!AF5565*[1]Source!AV5565)*[1]Source!I5565, 2), 2)</f>
        <v>0</v>
      </c>
      <c r="AC4513">
        <f>[1]Source!X5565</f>
        <v>0</v>
      </c>
      <c r="AD4513">
        <f>ROUND(([1]Source!CA5565/100)*ROUND(([1]Source!AF5565*[1]Source!AV5565)*[1]Source!I5565, 2), 2)</f>
        <v>0</v>
      </c>
      <c r="AE4513">
        <f>[1]Source!Y5565</f>
        <v>0</v>
      </c>
      <c r="AF4513">
        <f>ROUND((175/100)*ROUND(([1]Source!AE5565*[1]Source!AV5565)*[1]Source!I5565, 2), 2)</f>
        <v>290449.96999999997</v>
      </c>
      <c r="AG4513">
        <f>ROUND((108/100)*ROUND([1]Source!CS5565*[1]Source!I5565, 2), 2)</f>
        <v>179249.12</v>
      </c>
    </row>
    <row r="4514" spans="1:33" x14ac:dyDescent="0.2">
      <c r="C4514" s="40" t="str">
        <f>"Объем: "&amp;[1]Source!I5565&amp;"=1754,96/"&amp;"1000"</f>
        <v>Объем: 1,75496=1754,96/1000</v>
      </c>
      <c r="M4514"/>
      <c r="N4514"/>
      <c r="O4514"/>
      <c r="P4514"/>
      <c r="Q4514"/>
    </row>
    <row r="4515" spans="1:33" ht="14.25" x14ac:dyDescent="0.2">
      <c r="A4515" s="31"/>
      <c r="B4515" s="31"/>
      <c r="C4515" s="31" t="s">
        <v>33</v>
      </c>
      <c r="D4515" s="32"/>
      <c r="E4515" s="4"/>
      <c r="F4515" s="33">
        <f>[1]Source!AM5565</f>
        <v>290.76</v>
      </c>
      <c r="G4515" s="34" t="str">
        <f>[1]Source!DE5565</f>
        <v>)*2*398</v>
      </c>
      <c r="H4515" s="4">
        <f>[1]Source!AV5565</f>
        <v>1</v>
      </c>
      <c r="I4515" s="4">
        <f>IF([1]Source!BB5565&lt;&gt; 0, [1]Source!BB5565, 1)</f>
        <v>1</v>
      </c>
      <c r="J4515" s="33">
        <f>[1]Source!Q5565</f>
        <v>406176.65</v>
      </c>
      <c r="K4515" s="33"/>
      <c r="M4515"/>
      <c r="N4515"/>
      <c r="O4515"/>
      <c r="P4515"/>
      <c r="Q4515"/>
    </row>
    <row r="4516" spans="1:33" ht="14.25" x14ac:dyDescent="0.2">
      <c r="A4516" s="31"/>
      <c r="B4516" s="31"/>
      <c r="C4516" s="31" t="s">
        <v>37</v>
      </c>
      <c r="D4516" s="32"/>
      <c r="E4516" s="4"/>
      <c r="F4516" s="33">
        <f>[1]Source!AN5565</f>
        <v>118.81</v>
      </c>
      <c r="G4516" s="34" t="str">
        <f>[1]Source!DF5565</f>
        <v>)*2*398</v>
      </c>
      <c r="H4516" s="4">
        <f>[1]Source!AV5565</f>
        <v>1</v>
      </c>
      <c r="I4516" s="4">
        <f>IF([1]Source!BS5565&lt;&gt; 0, [1]Source!BS5565, 1)</f>
        <v>1</v>
      </c>
      <c r="J4516" s="41">
        <f>[1]Source!R5565</f>
        <v>165971.41</v>
      </c>
      <c r="K4516" s="33"/>
      <c r="M4516"/>
      <c r="N4516"/>
      <c r="O4516"/>
      <c r="P4516"/>
      <c r="Q4516"/>
    </row>
    <row r="4517" spans="1:33" ht="14.25" x14ac:dyDescent="0.2">
      <c r="A4517" s="31"/>
      <c r="B4517" s="31"/>
      <c r="C4517" s="31" t="s">
        <v>47</v>
      </c>
      <c r="D4517" s="32"/>
      <c r="E4517" s="4"/>
      <c r="F4517" s="33">
        <f>[1]Source!AL5565</f>
        <v>8.49</v>
      </c>
      <c r="G4517" s="34" t="str">
        <f>[1]Source!DD5565</f>
        <v>)*2*398</v>
      </c>
      <c r="H4517" s="4">
        <f>[1]Source!AW5565</f>
        <v>1</v>
      </c>
      <c r="I4517" s="4">
        <f>IF([1]Source!BC5565&lt;&gt; 0, [1]Source!BC5565, 1)</f>
        <v>1</v>
      </c>
      <c r="J4517" s="33">
        <f>[1]Source!P5565</f>
        <v>11860.09</v>
      </c>
      <c r="K4517" s="33"/>
      <c r="M4517"/>
      <c r="N4517"/>
      <c r="O4517"/>
      <c r="P4517"/>
      <c r="Q4517"/>
    </row>
    <row r="4518" spans="1:33" ht="14.25" x14ac:dyDescent="0.2">
      <c r="A4518" s="31" t="s">
        <v>197</v>
      </c>
      <c r="B4518" s="31" t="str">
        <f>[1]Source!F5566</f>
        <v>21.1-25-13</v>
      </c>
      <c r="C4518" s="31" t="str">
        <f>[1]Source!G5566</f>
        <v>Вода</v>
      </c>
      <c r="D4518" s="32" t="str">
        <f>[1]Source!H5566</f>
        <v>м3</v>
      </c>
      <c r="E4518" s="4">
        <f>[1]Source!I5566</f>
        <v>-279.38963200000001</v>
      </c>
      <c r="F4518" s="33">
        <f>[1]Source!AK5566</f>
        <v>42.44</v>
      </c>
      <c r="G4518" s="39" t="s">
        <v>123</v>
      </c>
      <c r="H4518" s="4">
        <f>[1]Source!AW5566</f>
        <v>1</v>
      </c>
      <c r="I4518" s="4">
        <f>IF([1]Source!BC5566&lt;&gt; 0, [1]Source!BC5566, 1)</f>
        <v>1</v>
      </c>
      <c r="J4518" s="33">
        <f>[1]Source!O5566</f>
        <v>-11857.3</v>
      </c>
      <c r="K4518" s="33"/>
      <c r="M4518"/>
      <c r="N4518"/>
      <c r="O4518"/>
      <c r="P4518"/>
      <c r="Q4518"/>
      <c r="AB4518">
        <f>ROUND(([1]Source!BZ5566/100)*ROUND(([1]Source!AF5566*[1]Source!AV5566)*[1]Source!I5566, 2), 2)</f>
        <v>0</v>
      </c>
      <c r="AC4518">
        <f>[1]Source!X5566</f>
        <v>0</v>
      </c>
      <c r="AD4518">
        <f>ROUND(([1]Source!CA5566/100)*ROUND(([1]Source!AF5566*[1]Source!AV5566)*[1]Source!I5566, 2), 2)</f>
        <v>0</v>
      </c>
      <c r="AE4518">
        <f>[1]Source!Y5566</f>
        <v>0</v>
      </c>
      <c r="AF4518">
        <f>ROUND((175/100)*ROUND(([1]Source!AE5566*[1]Source!AV5566)*[1]Source!I5566, 2), 2)</f>
        <v>0</v>
      </c>
      <c r="AG4518">
        <f>ROUND((108/100)*ROUND([1]Source!CS5566*[1]Source!I5566, 2), 2)</f>
        <v>0</v>
      </c>
    </row>
    <row r="4519" spans="1:33" ht="14.25" x14ac:dyDescent="0.2">
      <c r="A4519" s="31"/>
      <c r="B4519" s="31"/>
      <c r="C4519" s="31" t="s">
        <v>38</v>
      </c>
      <c r="D4519" s="32" t="s">
        <v>39</v>
      </c>
      <c r="E4519" s="4">
        <f>108</f>
        <v>108</v>
      </c>
      <c r="F4519" s="33"/>
      <c r="G4519" s="34"/>
      <c r="H4519" s="4"/>
      <c r="I4519" s="4"/>
      <c r="J4519" s="33">
        <f>SUM(AG4513:AG4518)</f>
        <v>179249.12</v>
      </c>
      <c r="K4519" s="33"/>
      <c r="M4519"/>
      <c r="N4519"/>
      <c r="O4519"/>
      <c r="P4519"/>
      <c r="Q4519"/>
    </row>
    <row r="4520" spans="1:33" ht="15" x14ac:dyDescent="0.25">
      <c r="A4520" s="35"/>
      <c r="B4520" s="35"/>
      <c r="C4520" s="35"/>
      <c r="D4520" s="35"/>
      <c r="E4520" s="35"/>
      <c r="F4520" s="35"/>
      <c r="G4520" s="35"/>
      <c r="H4520" s="35"/>
      <c r="I4520" s="36">
        <f>J4515+J4517+J4519+SUM(J4518:J4518)</f>
        <v>585428.56000000006</v>
      </c>
      <c r="J4520" s="36"/>
      <c r="K4520" s="37">
        <f>IF([1]Source!I5565&lt;&gt;0, ROUND(I4520/[1]Source!I5565, 2), 0)</f>
        <v>333585.13</v>
      </c>
      <c r="M4520"/>
      <c r="N4520"/>
      <c r="O4520"/>
      <c r="P4520"/>
      <c r="Q4520"/>
      <c r="AA4520" s="38">
        <f>I4520</f>
        <v>585428.56000000006</v>
      </c>
    </row>
    <row r="4521" spans="1:33" ht="42.75" x14ac:dyDescent="0.2">
      <c r="A4521" s="31">
        <v>561</v>
      </c>
      <c r="B4521" s="31" t="str">
        <f>[1]Source!F5567</f>
        <v>5.3-1101-13-1/1</v>
      </c>
      <c r="C4521" s="31" t="str">
        <f>[1]Source!G5567</f>
        <v>Подметание вручную дорожек и площадок с твердым покрытием ( 2507,08 м2*0,3=752,12м2)</v>
      </c>
      <c r="D4521" s="32" t="str">
        <f>[1]Source!H5567</f>
        <v>100 м2</v>
      </c>
      <c r="E4521" s="4">
        <f>[1]Source!I5567</f>
        <v>7.5212000000000003</v>
      </c>
      <c r="F4521" s="33"/>
      <c r="G4521" s="34"/>
      <c r="H4521" s="4"/>
      <c r="I4521" s="4"/>
      <c r="J4521" s="33"/>
      <c r="K4521" s="33"/>
      <c r="M4521"/>
      <c r="N4521"/>
      <c r="O4521"/>
      <c r="P4521"/>
      <c r="Q4521"/>
      <c r="AB4521">
        <f>ROUND(([1]Source!BZ5567/100)*ROUND(([1]Source!AF5567*[1]Source!AV5567)*[1]Source!I5567, 2), 2)</f>
        <v>145463.10999999999</v>
      </c>
      <c r="AC4521">
        <f>[1]Source!X5567</f>
        <v>145463.10999999999</v>
      </c>
      <c r="AD4521">
        <f>ROUND(([1]Source!CA5567/100)*ROUND(([1]Source!AF5567*[1]Source!AV5567)*[1]Source!I5567, 2), 2)</f>
        <v>20780.439999999999</v>
      </c>
      <c r="AE4521">
        <f>[1]Source!Y5567</f>
        <v>20780.439999999999</v>
      </c>
      <c r="AF4521">
        <f>ROUND((175/100)*ROUND(([1]Source!AE5567*[1]Source!AV5567)*[1]Source!I5567, 2), 2)</f>
        <v>0</v>
      </c>
      <c r="AG4521">
        <f>ROUND((108/100)*ROUND([1]Source!CS5567*[1]Source!I5567, 2), 2)</f>
        <v>0</v>
      </c>
    </row>
    <row r="4522" spans="1:33" x14ac:dyDescent="0.2">
      <c r="C4522" s="40" t="str">
        <f>"Объем: "&amp;[1]Source!I5567&amp;"=752,12/"&amp;"100"</f>
        <v>Объем: 7,5212=752,12/100</v>
      </c>
      <c r="M4522"/>
      <c r="N4522"/>
      <c r="O4522"/>
      <c r="P4522"/>
      <c r="Q4522"/>
    </row>
    <row r="4523" spans="1:33" ht="14.25" x14ac:dyDescent="0.2">
      <c r="A4523" s="31"/>
      <c r="B4523" s="31"/>
      <c r="C4523" s="31" t="s">
        <v>34</v>
      </c>
      <c r="D4523" s="32"/>
      <c r="E4523" s="4"/>
      <c r="F4523" s="33">
        <f>[1]Source!AO5567</f>
        <v>34.71</v>
      </c>
      <c r="G4523" s="34" t="str">
        <f>[1]Source!DG5567</f>
        <v>)*2*398</v>
      </c>
      <c r="H4523" s="4">
        <f>[1]Source!AV5567</f>
        <v>1</v>
      </c>
      <c r="I4523" s="4">
        <f>IF([1]Source!BA5567&lt;&gt; 0, [1]Source!BA5567, 1)</f>
        <v>1</v>
      </c>
      <c r="J4523" s="33">
        <f>[1]Source!S5567</f>
        <v>207804.44</v>
      </c>
      <c r="K4523" s="33"/>
      <c r="M4523"/>
      <c r="N4523"/>
      <c r="O4523"/>
      <c r="P4523"/>
      <c r="Q4523"/>
    </row>
    <row r="4524" spans="1:33" ht="14.25" x14ac:dyDescent="0.2">
      <c r="A4524" s="31"/>
      <c r="B4524" s="31"/>
      <c r="C4524" s="31" t="s">
        <v>40</v>
      </c>
      <c r="D4524" s="32" t="s">
        <v>39</v>
      </c>
      <c r="E4524" s="4">
        <f>[1]Source!AT5567</f>
        <v>70</v>
      </c>
      <c r="F4524" s="33"/>
      <c r="G4524" s="34"/>
      <c r="H4524" s="4"/>
      <c r="I4524" s="4"/>
      <c r="J4524" s="33">
        <f>SUM(AC4521:AC4523)</f>
        <v>145463.10999999999</v>
      </c>
      <c r="K4524" s="33"/>
      <c r="M4524"/>
      <c r="N4524"/>
      <c r="O4524"/>
      <c r="P4524"/>
      <c r="Q4524"/>
    </row>
    <row r="4525" spans="1:33" ht="14.25" x14ac:dyDescent="0.2">
      <c r="A4525" s="31"/>
      <c r="B4525" s="31"/>
      <c r="C4525" s="31" t="s">
        <v>41</v>
      </c>
      <c r="D4525" s="32" t="s">
        <v>39</v>
      </c>
      <c r="E4525" s="4">
        <f>[1]Source!AU5567</f>
        <v>10</v>
      </c>
      <c r="F4525" s="33"/>
      <c r="G4525" s="34"/>
      <c r="H4525" s="4"/>
      <c r="I4525" s="4"/>
      <c r="J4525" s="33">
        <f>SUM(AE4521:AE4524)</f>
        <v>20780.439999999999</v>
      </c>
      <c r="K4525" s="33"/>
      <c r="M4525"/>
      <c r="N4525"/>
      <c r="O4525"/>
      <c r="P4525"/>
      <c r="Q4525"/>
    </row>
    <row r="4526" spans="1:33" ht="14.25" x14ac:dyDescent="0.2">
      <c r="A4526" s="31"/>
      <c r="B4526" s="31"/>
      <c r="C4526" s="31" t="s">
        <v>42</v>
      </c>
      <c r="D4526" s="32" t="s">
        <v>43</v>
      </c>
      <c r="E4526" s="4">
        <f>[1]Source!AQ5567</f>
        <v>0.14000000000000001</v>
      </c>
      <c r="F4526" s="33"/>
      <c r="G4526" s="34" t="str">
        <f>[1]Source!DI5567</f>
        <v>)*2*398</v>
      </c>
      <c r="H4526" s="4">
        <f>[1]Source!AV5567</f>
        <v>1</v>
      </c>
      <c r="I4526" s="4"/>
      <c r="J4526" s="33"/>
      <c r="K4526" s="33">
        <f>[1]Source!U5567</f>
        <v>838.16252800000018</v>
      </c>
      <c r="M4526"/>
      <c r="N4526"/>
      <c r="O4526"/>
      <c r="P4526"/>
      <c r="Q4526"/>
    </row>
    <row r="4527" spans="1:33" ht="15" x14ac:dyDescent="0.25">
      <c r="A4527" s="35"/>
      <c r="B4527" s="35"/>
      <c r="C4527" s="35"/>
      <c r="D4527" s="35"/>
      <c r="E4527" s="35"/>
      <c r="F4527" s="35"/>
      <c r="G4527" s="35"/>
      <c r="H4527" s="35"/>
      <c r="I4527" s="36">
        <f>J4523+J4524+J4525</f>
        <v>374047.99</v>
      </c>
      <c r="J4527" s="36"/>
      <c r="K4527" s="37">
        <f>IF([1]Source!I5567&lt;&gt;0, ROUND(I4527/[1]Source!I5567, 2), 0)</f>
        <v>49732.49</v>
      </c>
      <c r="M4527"/>
      <c r="N4527"/>
      <c r="O4527"/>
      <c r="P4527"/>
      <c r="Q4527"/>
      <c r="AA4527" s="38">
        <f>I4527</f>
        <v>374047.99</v>
      </c>
    </row>
    <row r="4528" spans="1:33" ht="42.75" x14ac:dyDescent="0.2">
      <c r="A4528" s="31">
        <v>562</v>
      </c>
      <c r="B4528" s="31" t="str">
        <f>[1]Source!F5568</f>
        <v>5.3-1101-15-5/1</v>
      </c>
      <c r="C4528" s="31" t="str">
        <f>[1]Source!G5568</f>
        <v>Мытье тротуаров, придомовых и внутрибольничных проездов средствами малой механизации</v>
      </c>
      <c r="D4528" s="32" t="str">
        <f>[1]Source!H5568</f>
        <v>1000 м2</v>
      </c>
      <c r="E4528" s="4">
        <f>[1]Source!I5568</f>
        <v>2.5070800000000002</v>
      </c>
      <c r="F4528" s="33"/>
      <c r="G4528" s="34"/>
      <c r="H4528" s="4"/>
      <c r="I4528" s="4"/>
      <c r="J4528" s="33"/>
      <c r="K4528" s="33"/>
      <c r="M4528"/>
      <c r="N4528"/>
      <c r="O4528"/>
      <c r="P4528"/>
      <c r="Q4528"/>
      <c r="AB4528">
        <f>ROUND(([1]Source!BZ5568/100)*ROUND(([1]Source!AF5568*[1]Source!AV5568)*[1]Source!I5568, 2), 2)</f>
        <v>0</v>
      </c>
      <c r="AC4528">
        <f>[1]Source!X5568</f>
        <v>0</v>
      </c>
      <c r="AD4528">
        <f>ROUND(([1]Source!CA5568/100)*ROUND(([1]Source!AF5568*[1]Source!AV5568)*[1]Source!I5568, 2), 2)</f>
        <v>0</v>
      </c>
      <c r="AE4528">
        <f>[1]Source!Y5568</f>
        <v>0</v>
      </c>
      <c r="AF4528">
        <f>ROUND((175/100)*ROUND(([1]Source!AE5568*[1]Source!AV5568)*[1]Source!I5568, 2), 2)</f>
        <v>2646.39</v>
      </c>
      <c r="AG4528">
        <f>ROUND((108/100)*ROUND([1]Source!CS5568*[1]Source!I5568, 2), 2)</f>
        <v>1633.2</v>
      </c>
    </row>
    <row r="4529" spans="1:33" x14ac:dyDescent="0.2">
      <c r="C4529" s="40" t="str">
        <f>"Объем: "&amp;[1]Source!I5568&amp;"=2507,08/"&amp;"1000"</f>
        <v>Объем: 2,50708=2507,08/1000</v>
      </c>
      <c r="M4529"/>
      <c r="N4529"/>
      <c r="O4529"/>
      <c r="P4529"/>
      <c r="Q4529"/>
    </row>
    <row r="4530" spans="1:33" ht="14.25" x14ac:dyDescent="0.2">
      <c r="A4530" s="31"/>
      <c r="B4530" s="31"/>
      <c r="C4530" s="31" t="s">
        <v>33</v>
      </c>
      <c r="D4530" s="32"/>
      <c r="E4530" s="4"/>
      <c r="F4530" s="33">
        <f>[1]Source!AM5568</f>
        <v>738.08</v>
      </c>
      <c r="G4530" s="34" t="str">
        <f>[1]Source!DE5568</f>
        <v>)*1*2</v>
      </c>
      <c r="H4530" s="4">
        <f>[1]Source!AV5568</f>
        <v>1</v>
      </c>
      <c r="I4530" s="4">
        <f>IF([1]Source!BB5568&lt;&gt; 0, [1]Source!BB5568, 1)</f>
        <v>1</v>
      </c>
      <c r="J4530" s="33">
        <f>[1]Source!Q5568</f>
        <v>3700.85</v>
      </c>
      <c r="K4530" s="33"/>
      <c r="M4530"/>
      <c r="N4530"/>
      <c r="O4530"/>
      <c r="P4530"/>
      <c r="Q4530"/>
    </row>
    <row r="4531" spans="1:33" ht="14.25" x14ac:dyDescent="0.2">
      <c r="A4531" s="31"/>
      <c r="B4531" s="31"/>
      <c r="C4531" s="31" t="s">
        <v>37</v>
      </c>
      <c r="D4531" s="32"/>
      <c r="E4531" s="4"/>
      <c r="F4531" s="33">
        <f>[1]Source!AN5568</f>
        <v>301.58999999999997</v>
      </c>
      <c r="G4531" s="34" t="str">
        <f>[1]Source!DF5568</f>
        <v>)*1*2</v>
      </c>
      <c r="H4531" s="4">
        <f>[1]Source!AV5568</f>
        <v>1</v>
      </c>
      <c r="I4531" s="4">
        <f>IF([1]Source!BS5568&lt;&gt; 0, [1]Source!BS5568, 1)</f>
        <v>1</v>
      </c>
      <c r="J4531" s="41">
        <f>[1]Source!R5568</f>
        <v>1512.22</v>
      </c>
      <c r="K4531" s="33"/>
      <c r="M4531"/>
      <c r="N4531"/>
      <c r="O4531"/>
      <c r="P4531"/>
      <c r="Q4531"/>
    </row>
    <row r="4532" spans="1:33" ht="14.25" x14ac:dyDescent="0.2">
      <c r="A4532" s="31"/>
      <c r="B4532" s="31"/>
      <c r="C4532" s="31" t="s">
        <v>47</v>
      </c>
      <c r="D4532" s="32"/>
      <c r="E4532" s="4"/>
      <c r="F4532" s="33">
        <f>[1]Source!AL5568</f>
        <v>194.05</v>
      </c>
      <c r="G4532" s="34" t="str">
        <f>[1]Source!DD5568</f>
        <v>)*1*2</v>
      </c>
      <c r="H4532" s="4">
        <f>[1]Source!AW5568</f>
        <v>1</v>
      </c>
      <c r="I4532" s="4">
        <f>IF([1]Source!BC5568&lt;&gt; 0, [1]Source!BC5568, 1)</f>
        <v>1</v>
      </c>
      <c r="J4532" s="33">
        <f>[1]Source!P5568</f>
        <v>973</v>
      </c>
      <c r="K4532" s="33"/>
      <c r="M4532"/>
      <c r="N4532"/>
      <c r="O4532"/>
      <c r="P4532"/>
      <c r="Q4532"/>
    </row>
    <row r="4533" spans="1:33" ht="14.25" x14ac:dyDescent="0.2">
      <c r="A4533" s="31" t="s">
        <v>198</v>
      </c>
      <c r="B4533" s="31" t="str">
        <f>[1]Source!F5569</f>
        <v>21.1-25-13</v>
      </c>
      <c r="C4533" s="31" t="str">
        <f>[1]Source!G5569</f>
        <v>Вода</v>
      </c>
      <c r="D4533" s="32" t="str">
        <f>[1]Source!H5569</f>
        <v>м3</v>
      </c>
      <c r="E4533" s="4">
        <f>[1]Source!I5569</f>
        <v>-5.6158589999999995</v>
      </c>
      <c r="F4533" s="33">
        <f>[1]Source!AK5569</f>
        <v>42.44</v>
      </c>
      <c r="G4533" s="39" t="s">
        <v>102</v>
      </c>
      <c r="H4533" s="4">
        <f>[1]Source!AW5569</f>
        <v>1</v>
      </c>
      <c r="I4533" s="4">
        <f>IF([1]Source!BC5569&lt;&gt; 0, [1]Source!BC5569, 1)</f>
        <v>1</v>
      </c>
      <c r="J4533" s="33">
        <f>[1]Source!O5569</f>
        <v>-238.34</v>
      </c>
      <c r="K4533" s="33"/>
      <c r="M4533"/>
      <c r="N4533"/>
      <c r="O4533"/>
      <c r="P4533"/>
      <c r="Q4533"/>
      <c r="AB4533">
        <f>ROUND(([1]Source!BZ5569/100)*ROUND(([1]Source!AF5569*[1]Source!AV5569)*[1]Source!I5569, 2), 2)</f>
        <v>0</v>
      </c>
      <c r="AC4533">
        <f>[1]Source!X5569</f>
        <v>0</v>
      </c>
      <c r="AD4533">
        <f>ROUND(([1]Source!CA5569/100)*ROUND(([1]Source!AF5569*[1]Source!AV5569)*[1]Source!I5569, 2), 2)</f>
        <v>0</v>
      </c>
      <c r="AE4533">
        <f>[1]Source!Y5569</f>
        <v>0</v>
      </c>
      <c r="AF4533">
        <f>ROUND((175/100)*ROUND(([1]Source!AE5569*[1]Source!AV5569)*[1]Source!I5569, 2), 2)</f>
        <v>0</v>
      </c>
      <c r="AG4533">
        <f>ROUND((108/100)*ROUND([1]Source!CS5569*[1]Source!I5569, 2), 2)</f>
        <v>0</v>
      </c>
    </row>
    <row r="4534" spans="1:33" ht="14.25" x14ac:dyDescent="0.2">
      <c r="A4534" s="31"/>
      <c r="B4534" s="31"/>
      <c r="C4534" s="31" t="s">
        <v>38</v>
      </c>
      <c r="D4534" s="32" t="s">
        <v>39</v>
      </c>
      <c r="E4534" s="4">
        <f>108</f>
        <v>108</v>
      </c>
      <c r="F4534" s="33"/>
      <c r="G4534" s="34"/>
      <c r="H4534" s="4"/>
      <c r="I4534" s="4"/>
      <c r="J4534" s="33">
        <f>SUM(AG4528:AG4533)</f>
        <v>1633.2</v>
      </c>
      <c r="K4534" s="33"/>
      <c r="M4534"/>
      <c r="N4534"/>
      <c r="O4534"/>
      <c r="P4534"/>
      <c r="Q4534"/>
    </row>
    <row r="4535" spans="1:33" ht="15" x14ac:dyDescent="0.25">
      <c r="A4535" s="35"/>
      <c r="B4535" s="35"/>
      <c r="C4535" s="35"/>
      <c r="D4535" s="35"/>
      <c r="E4535" s="35"/>
      <c r="F4535" s="35"/>
      <c r="G4535" s="35"/>
      <c r="H4535" s="35"/>
      <c r="I4535" s="36">
        <f>J4530+J4532+J4534+SUM(J4533:J4533)</f>
        <v>6068.71</v>
      </c>
      <c r="J4535" s="36"/>
      <c r="K4535" s="37">
        <f>IF([1]Source!I5568&lt;&gt;0, ROUND(I4535/[1]Source!I5568, 2), 0)</f>
        <v>2420.63</v>
      </c>
      <c r="M4535"/>
      <c r="N4535"/>
      <c r="O4535"/>
      <c r="P4535"/>
      <c r="Q4535"/>
      <c r="AA4535" s="38">
        <f>I4535</f>
        <v>6068.71</v>
      </c>
    </row>
    <row r="4536" spans="1:33" ht="42.75" x14ac:dyDescent="0.2">
      <c r="A4536" s="31">
        <v>563</v>
      </c>
      <c r="B4536" s="31" t="str">
        <f>[1]Source!F5570</f>
        <v>5.3-1101-15-4/1</v>
      </c>
      <c r="C4536" s="31" t="str">
        <f>[1]Source!G5570</f>
        <v>Полив тротуаров, придомовых и внутрибольничных проездов средствами малой механизации</v>
      </c>
      <c r="D4536" s="32" t="str">
        <f>[1]Source!H5570</f>
        <v>1000 м2</v>
      </c>
      <c r="E4536" s="4">
        <f>[1]Source!I5570</f>
        <v>2.5070800000000002</v>
      </c>
      <c r="F4536" s="33"/>
      <c r="G4536" s="34"/>
      <c r="H4536" s="4"/>
      <c r="I4536" s="4"/>
      <c r="J4536" s="33"/>
      <c r="K4536" s="33"/>
      <c r="M4536"/>
      <c r="N4536"/>
      <c r="O4536"/>
      <c r="P4536"/>
      <c r="Q4536"/>
      <c r="AB4536">
        <f>ROUND(([1]Source!BZ5570/100)*ROUND(([1]Source!AF5570*[1]Source!AV5570)*[1]Source!I5570, 2), 2)</f>
        <v>0</v>
      </c>
      <c r="AC4536">
        <f>[1]Source!X5570</f>
        <v>0</v>
      </c>
      <c r="AD4536">
        <f>ROUND(([1]Source!CA5570/100)*ROUND(([1]Source!AF5570*[1]Source!AV5570)*[1]Source!I5570, 2), 2)</f>
        <v>0</v>
      </c>
      <c r="AE4536">
        <f>[1]Source!Y5570</f>
        <v>0</v>
      </c>
      <c r="AF4536">
        <f>ROUND((175/100)*ROUND(([1]Source!AE5570*[1]Source!AV5570)*[1]Source!I5570, 2), 2)</f>
        <v>151565.01999999999</v>
      </c>
      <c r="AG4536">
        <f>ROUND((108/100)*ROUND([1]Source!CS5570*[1]Source!I5570, 2), 2)</f>
        <v>93537.27</v>
      </c>
    </row>
    <row r="4537" spans="1:33" x14ac:dyDescent="0.2">
      <c r="C4537" s="40" t="str">
        <f>"Объем: "&amp;[1]Source!I5570&amp;"=2507,08/"&amp;"1000"</f>
        <v>Объем: 2,50708=2507,08/1000</v>
      </c>
      <c r="M4537"/>
      <c r="N4537"/>
      <c r="O4537"/>
      <c r="P4537"/>
      <c r="Q4537"/>
    </row>
    <row r="4538" spans="1:33" ht="14.25" x14ac:dyDescent="0.2">
      <c r="A4538" s="31"/>
      <c r="B4538" s="31"/>
      <c r="C4538" s="31" t="s">
        <v>33</v>
      </c>
      <c r="D4538" s="32"/>
      <c r="E4538" s="4"/>
      <c r="F4538" s="33">
        <f>[1]Source!AM5570</f>
        <v>469.69</v>
      </c>
      <c r="G4538" s="34" t="str">
        <f>[1]Source!DE5570</f>
        <v>)*2*90</v>
      </c>
      <c r="H4538" s="4">
        <f>[1]Source!AV5570</f>
        <v>1</v>
      </c>
      <c r="I4538" s="4">
        <f>IF([1]Source!BB5570&lt;&gt; 0, [1]Source!BB5570, 1)</f>
        <v>1</v>
      </c>
      <c r="J4538" s="33">
        <f>[1]Source!Q5570</f>
        <v>211959.07</v>
      </c>
      <c r="K4538" s="33"/>
      <c r="M4538"/>
      <c r="N4538"/>
      <c r="O4538"/>
      <c r="P4538"/>
      <c r="Q4538"/>
    </row>
    <row r="4539" spans="1:33" ht="14.25" x14ac:dyDescent="0.2">
      <c r="A4539" s="31"/>
      <c r="B4539" s="31"/>
      <c r="C4539" s="31" t="s">
        <v>37</v>
      </c>
      <c r="D4539" s="32"/>
      <c r="E4539" s="4"/>
      <c r="F4539" s="33">
        <f>[1]Source!AN5570</f>
        <v>191.92</v>
      </c>
      <c r="G4539" s="34" t="str">
        <f>[1]Source!DF5570</f>
        <v>)*2*90</v>
      </c>
      <c r="H4539" s="4">
        <f>[1]Source!AV5570</f>
        <v>1</v>
      </c>
      <c r="I4539" s="4">
        <f>IF([1]Source!BS5570&lt;&gt; 0, [1]Source!BS5570, 1)</f>
        <v>1</v>
      </c>
      <c r="J4539" s="41">
        <f>[1]Source!R5570</f>
        <v>86608.58</v>
      </c>
      <c r="K4539" s="33"/>
      <c r="M4539"/>
      <c r="N4539"/>
      <c r="O4539"/>
      <c r="P4539"/>
      <c r="Q4539"/>
    </row>
    <row r="4540" spans="1:33" ht="14.25" x14ac:dyDescent="0.2">
      <c r="A4540" s="31"/>
      <c r="B4540" s="31"/>
      <c r="C4540" s="31" t="s">
        <v>47</v>
      </c>
      <c r="D4540" s="32"/>
      <c r="E4540" s="4"/>
      <c r="F4540" s="33">
        <f>[1]Source!AL5570</f>
        <v>14.85</v>
      </c>
      <c r="G4540" s="34" t="str">
        <f>[1]Source!DD5570</f>
        <v>)*2*90</v>
      </c>
      <c r="H4540" s="4">
        <f>[1]Source!AW5570</f>
        <v>1</v>
      </c>
      <c r="I4540" s="4">
        <f>IF([1]Source!BC5570&lt;&gt; 0, [1]Source!BC5570, 1)</f>
        <v>1</v>
      </c>
      <c r="J4540" s="33">
        <f>[1]Source!P5570</f>
        <v>6701.42</v>
      </c>
      <c r="K4540" s="33"/>
      <c r="M4540"/>
      <c r="N4540"/>
      <c r="O4540"/>
      <c r="P4540"/>
      <c r="Q4540"/>
    </row>
    <row r="4541" spans="1:33" ht="14.25" x14ac:dyDescent="0.2">
      <c r="A4541" s="31" t="s">
        <v>199</v>
      </c>
      <c r="B4541" s="31" t="str">
        <f>[1]Source!F5571</f>
        <v>21.1-25-13</v>
      </c>
      <c r="C4541" s="31" t="str">
        <f>[1]Source!G5571</f>
        <v>Вода</v>
      </c>
      <c r="D4541" s="32" t="str">
        <f>[1]Source!H5571</f>
        <v>м3</v>
      </c>
      <c r="E4541" s="4">
        <f>[1]Source!I5571</f>
        <v>-157.94604000000001</v>
      </c>
      <c r="F4541" s="33">
        <f>[1]Source!AK5571</f>
        <v>42.44</v>
      </c>
      <c r="G4541" s="39" t="s">
        <v>104</v>
      </c>
      <c r="H4541" s="4">
        <f>[1]Source!AW5571</f>
        <v>1</v>
      </c>
      <c r="I4541" s="4">
        <f>IF([1]Source!BC5571&lt;&gt; 0, [1]Source!BC5571, 1)</f>
        <v>1</v>
      </c>
      <c r="J4541" s="33">
        <f>[1]Source!O5571</f>
        <v>-6703.23</v>
      </c>
      <c r="K4541" s="33"/>
      <c r="M4541"/>
      <c r="N4541"/>
      <c r="O4541"/>
      <c r="P4541"/>
      <c r="Q4541"/>
      <c r="AB4541">
        <f>ROUND(([1]Source!BZ5571/100)*ROUND(([1]Source!AF5571*[1]Source!AV5571)*[1]Source!I5571, 2), 2)</f>
        <v>0</v>
      </c>
      <c r="AC4541">
        <f>[1]Source!X5571</f>
        <v>0</v>
      </c>
      <c r="AD4541">
        <f>ROUND(([1]Source!CA5571/100)*ROUND(([1]Source!AF5571*[1]Source!AV5571)*[1]Source!I5571, 2), 2)</f>
        <v>0</v>
      </c>
      <c r="AE4541">
        <f>[1]Source!Y5571</f>
        <v>0</v>
      </c>
      <c r="AF4541">
        <f>ROUND((175/100)*ROUND(([1]Source!AE5571*[1]Source!AV5571)*[1]Source!I5571, 2), 2)</f>
        <v>0</v>
      </c>
      <c r="AG4541">
        <f>ROUND((108/100)*ROUND([1]Source!CS5571*[1]Source!I5571, 2), 2)</f>
        <v>0</v>
      </c>
    </row>
    <row r="4542" spans="1:33" ht="14.25" x14ac:dyDescent="0.2">
      <c r="A4542" s="31"/>
      <c r="B4542" s="31"/>
      <c r="C4542" s="31" t="s">
        <v>38</v>
      </c>
      <c r="D4542" s="32" t="s">
        <v>39</v>
      </c>
      <c r="E4542" s="4">
        <f>108</f>
        <v>108</v>
      </c>
      <c r="F4542" s="33"/>
      <c r="G4542" s="34"/>
      <c r="H4542" s="4"/>
      <c r="I4542" s="4"/>
      <c r="J4542" s="33">
        <f>SUM(AG4536:AG4541)</f>
        <v>93537.27</v>
      </c>
      <c r="K4542" s="33"/>
      <c r="M4542"/>
      <c r="N4542"/>
      <c r="O4542"/>
      <c r="P4542"/>
      <c r="Q4542"/>
    </row>
    <row r="4543" spans="1:33" ht="15" x14ac:dyDescent="0.25">
      <c r="A4543" s="35"/>
      <c r="B4543" s="35"/>
      <c r="C4543" s="35"/>
      <c r="D4543" s="35"/>
      <c r="E4543" s="35"/>
      <c r="F4543" s="35"/>
      <c r="G4543" s="35"/>
      <c r="H4543" s="35"/>
      <c r="I4543" s="36">
        <f>J4538+J4540+J4542+SUM(J4541:J4541)</f>
        <v>305494.53000000003</v>
      </c>
      <c r="J4543" s="36"/>
      <c r="K4543" s="37">
        <f>IF([1]Source!I5570&lt;&gt;0, ROUND(I4543/[1]Source!I5570, 2), 0)</f>
        <v>121852.73</v>
      </c>
      <c r="M4543"/>
      <c r="N4543"/>
      <c r="O4543"/>
      <c r="P4543"/>
      <c r="Q4543"/>
      <c r="AA4543" s="38">
        <f>I4543</f>
        <v>305494.53000000003</v>
      </c>
    </row>
    <row r="4544" spans="1:33" x14ac:dyDescent="0.2">
      <c r="M4544"/>
      <c r="N4544"/>
      <c r="O4544"/>
      <c r="P4544"/>
      <c r="Q4544"/>
    </row>
    <row r="4545" spans="1:43" ht="30" x14ac:dyDescent="0.25">
      <c r="A4545" s="42" t="str">
        <f>CONCATENATE("Итого по подразделу: ",IF([1]Source!G5573&lt;&gt;"Новый подраздел", [1]Source!G5573, ""))</f>
        <v>Итого по подразделу: Содержание покрытия из гранитной плитки, пескоуловитель из фибробетона ( S=2485,6 м2+ 21,48 м2= 2507,08 м2)</v>
      </c>
      <c r="B4545" s="42"/>
      <c r="C4545" s="42"/>
      <c r="D4545" s="42"/>
      <c r="E4545" s="42"/>
      <c r="F4545" s="42"/>
      <c r="G4545" s="42"/>
      <c r="H4545" s="42"/>
      <c r="I4545" s="43">
        <f>SUM(AA4512:AA4544)</f>
        <v>1271039.79</v>
      </c>
      <c r="J4545" s="44"/>
      <c r="K4545" s="47"/>
      <c r="L4545" s="38">
        <f>I4545</f>
        <v>1271039.79</v>
      </c>
      <c r="M4545" s="2">
        <f>ROUND(I4545*$I$4874,2)</f>
        <v>917953.64</v>
      </c>
      <c r="N4545" s="2">
        <f>ROUND(M4545*1.2/105*100,2)</f>
        <v>1049089.8700000001</v>
      </c>
      <c r="O4545" s="2">
        <f>ROUND(N4545*0.05,2)</f>
        <v>52454.49</v>
      </c>
      <c r="P4545" s="2">
        <f>N4545+O4545</f>
        <v>1101544.3600000001</v>
      </c>
      <c r="Q4545" s="3">
        <v>122</v>
      </c>
      <c r="S4545" s="2">
        <v>0</v>
      </c>
      <c r="AQ4545" s="46" t="str">
        <f>CONCATENATE("Итого по подразделу: ",IF([1]Source!G5573&lt;&gt;"Новый подраздел", [1]Source!G5573, ""))</f>
        <v>Итого по подразделу: Содержание покрытия из гранитной плитки, пескоуловитель из фибробетона ( S=2485,6 м2+ 21,48 м2= 2507,08 м2)</v>
      </c>
    </row>
    <row r="4546" spans="1:43" x14ac:dyDescent="0.2">
      <c r="M4546"/>
      <c r="N4546"/>
      <c r="O4546"/>
      <c r="P4546"/>
      <c r="Q4546"/>
    </row>
    <row r="4547" spans="1:43" x14ac:dyDescent="0.2">
      <c r="M4547"/>
      <c r="N4547"/>
      <c r="O4547"/>
      <c r="P4547"/>
      <c r="Q4547"/>
    </row>
    <row r="4548" spans="1:43" ht="16.5" x14ac:dyDescent="0.25">
      <c r="A4548" s="29" t="str">
        <f>CONCATENATE("Подраздел: ",IF([1]Source!G5603&lt;&gt;"Новый подраздел", [1]Source!G5603, ""))</f>
        <v>Подраздел: Уход за бортовыми камнями</v>
      </c>
      <c r="B4548" s="29"/>
      <c r="C4548" s="29"/>
      <c r="D4548" s="29"/>
      <c r="E4548" s="29"/>
      <c r="F4548" s="29"/>
      <c r="G4548" s="29"/>
      <c r="H4548" s="29"/>
      <c r="I4548" s="29"/>
      <c r="J4548" s="29"/>
      <c r="K4548" s="29"/>
      <c r="M4548"/>
      <c r="N4548"/>
      <c r="O4548"/>
      <c r="P4548"/>
      <c r="Q4548"/>
    </row>
    <row r="4549" spans="1:43" ht="42.75" x14ac:dyDescent="0.2">
      <c r="A4549" s="31">
        <v>564</v>
      </c>
      <c r="B4549" s="31" t="str">
        <f>[1]Source!F5607</f>
        <v>5.3-1101-13-1/1</v>
      </c>
      <c r="C4549" s="31" t="str">
        <f>[1]Source!G5607</f>
        <v>Подметание вручную дорожек и площадок с твердым покрытием ( очистка бортовых камней )</v>
      </c>
      <c r="D4549" s="32" t="str">
        <f>[1]Source!H5607</f>
        <v>100 м2</v>
      </c>
      <c r="E4549" s="4">
        <f>[1]Source!I5607</f>
        <v>1.1064000000000001</v>
      </c>
      <c r="F4549" s="33"/>
      <c r="G4549" s="34"/>
      <c r="H4549" s="4"/>
      <c r="I4549" s="4"/>
      <c r="J4549" s="33"/>
      <c r="K4549" s="33"/>
      <c r="M4549"/>
      <c r="N4549"/>
      <c r="O4549"/>
      <c r="P4549"/>
      <c r="Q4549"/>
      <c r="AB4549">
        <f>ROUND(([1]Source!BZ5607/100)*ROUND(([1]Source!AF5607*[1]Source!AV5607)*[1]Source!I5607, 2), 2)</f>
        <v>21398.23</v>
      </c>
      <c r="AC4549">
        <f>[1]Source!X5607</f>
        <v>21398.23</v>
      </c>
      <c r="AD4549">
        <f>ROUND(([1]Source!CA5607/100)*ROUND(([1]Source!AF5607*[1]Source!AV5607)*[1]Source!I5607, 2), 2)</f>
        <v>3056.89</v>
      </c>
      <c r="AE4549">
        <f>[1]Source!Y5607</f>
        <v>3056.89</v>
      </c>
      <c r="AF4549">
        <f>ROUND((175/100)*ROUND(([1]Source!AE5607*[1]Source!AV5607)*[1]Source!I5607, 2), 2)</f>
        <v>0</v>
      </c>
      <c r="AG4549">
        <f>ROUND((108/100)*ROUND([1]Source!CS5607*[1]Source!I5607, 2), 2)</f>
        <v>0</v>
      </c>
    </row>
    <row r="4550" spans="1:43" x14ac:dyDescent="0.2">
      <c r="C4550" s="40" t="str">
        <f>"Объем: "&amp;[1]Source!I5607&amp;"=110,64/"&amp;"100"</f>
        <v>Объем: 1,1064=110,64/100</v>
      </c>
      <c r="M4550"/>
      <c r="N4550"/>
      <c r="O4550"/>
      <c r="P4550"/>
      <c r="Q4550"/>
    </row>
    <row r="4551" spans="1:43" ht="14.25" x14ac:dyDescent="0.2">
      <c r="A4551" s="31"/>
      <c r="B4551" s="31"/>
      <c r="C4551" s="31" t="s">
        <v>34</v>
      </c>
      <c r="D4551" s="32"/>
      <c r="E4551" s="4"/>
      <c r="F4551" s="33">
        <f>[1]Source!AO5607</f>
        <v>34.71</v>
      </c>
      <c r="G4551" s="34" t="str">
        <f>[1]Source!DG5607</f>
        <v>)*2*398</v>
      </c>
      <c r="H4551" s="4">
        <f>[1]Source!AV5607</f>
        <v>1</v>
      </c>
      <c r="I4551" s="4">
        <f>IF([1]Source!BA5607&lt;&gt; 0, [1]Source!BA5607, 1)</f>
        <v>1</v>
      </c>
      <c r="J4551" s="33">
        <f>[1]Source!S5607</f>
        <v>30568.9</v>
      </c>
      <c r="K4551" s="33"/>
      <c r="M4551"/>
      <c r="N4551"/>
      <c r="O4551"/>
      <c r="P4551"/>
      <c r="Q4551"/>
    </row>
    <row r="4552" spans="1:43" ht="14.25" x14ac:dyDescent="0.2">
      <c r="A4552" s="31"/>
      <c r="B4552" s="31"/>
      <c r="C4552" s="31" t="s">
        <v>40</v>
      </c>
      <c r="D4552" s="32" t="s">
        <v>39</v>
      </c>
      <c r="E4552" s="4">
        <f>[1]Source!AT5607</f>
        <v>70</v>
      </c>
      <c r="F4552" s="33"/>
      <c r="G4552" s="34"/>
      <c r="H4552" s="4"/>
      <c r="I4552" s="4"/>
      <c r="J4552" s="33">
        <f>SUM(AC4549:AC4551)</f>
        <v>21398.23</v>
      </c>
      <c r="K4552" s="33"/>
      <c r="M4552"/>
      <c r="N4552"/>
      <c r="O4552"/>
      <c r="P4552"/>
      <c r="Q4552"/>
    </row>
    <row r="4553" spans="1:43" ht="14.25" x14ac:dyDescent="0.2">
      <c r="A4553" s="31"/>
      <c r="B4553" s="31"/>
      <c r="C4553" s="31" t="s">
        <v>41</v>
      </c>
      <c r="D4553" s="32" t="s">
        <v>39</v>
      </c>
      <c r="E4553" s="4">
        <f>[1]Source!AU5607</f>
        <v>10</v>
      </c>
      <c r="F4553" s="33"/>
      <c r="G4553" s="34"/>
      <c r="H4553" s="4"/>
      <c r="I4553" s="4"/>
      <c r="J4553" s="33">
        <f>SUM(AE4549:AE4552)</f>
        <v>3056.89</v>
      </c>
      <c r="K4553" s="33"/>
      <c r="M4553"/>
      <c r="N4553"/>
      <c r="O4553"/>
      <c r="P4553"/>
      <c r="Q4553"/>
    </row>
    <row r="4554" spans="1:43" ht="14.25" x14ac:dyDescent="0.2">
      <c r="A4554" s="31"/>
      <c r="B4554" s="31"/>
      <c r="C4554" s="31" t="s">
        <v>42</v>
      </c>
      <c r="D4554" s="32" t="s">
        <v>43</v>
      </c>
      <c r="E4554" s="4">
        <f>[1]Source!AQ5607</f>
        <v>0.14000000000000001</v>
      </c>
      <c r="F4554" s="33"/>
      <c r="G4554" s="34" t="str">
        <f>[1]Source!DI5607</f>
        <v>)*2*398</v>
      </c>
      <c r="H4554" s="4">
        <f>[1]Source!AV5607</f>
        <v>1</v>
      </c>
      <c r="I4554" s="4"/>
      <c r="J4554" s="33"/>
      <c r="K4554" s="33">
        <f>[1]Source!U5607</f>
        <v>123.29721600000002</v>
      </c>
      <c r="M4554"/>
      <c r="N4554"/>
      <c r="O4554"/>
      <c r="P4554"/>
      <c r="Q4554"/>
    </row>
    <row r="4555" spans="1:43" ht="15" x14ac:dyDescent="0.25">
      <c r="A4555" s="35"/>
      <c r="B4555" s="35"/>
      <c r="C4555" s="35"/>
      <c r="D4555" s="35"/>
      <c r="E4555" s="35"/>
      <c r="F4555" s="35"/>
      <c r="G4555" s="35"/>
      <c r="H4555" s="35"/>
      <c r="I4555" s="36">
        <f>J4551+J4552+J4553</f>
        <v>55024.020000000004</v>
      </c>
      <c r="J4555" s="36"/>
      <c r="K4555" s="37">
        <f>IF([1]Source!I5607&lt;&gt;0, ROUND(I4555/[1]Source!I5607, 2), 0)</f>
        <v>49732.480000000003</v>
      </c>
      <c r="M4555"/>
      <c r="N4555"/>
      <c r="O4555"/>
      <c r="P4555"/>
      <c r="Q4555"/>
      <c r="AA4555" s="38">
        <f>I4555</f>
        <v>55024.020000000004</v>
      </c>
    </row>
    <row r="4556" spans="1:43" x14ac:dyDescent="0.2">
      <c r="M4556"/>
      <c r="N4556"/>
      <c r="O4556"/>
      <c r="P4556"/>
      <c r="Q4556"/>
    </row>
    <row r="4557" spans="1:43" ht="15" x14ac:dyDescent="0.25">
      <c r="A4557" s="42" t="str">
        <f>CONCATENATE("Итого по подразделу: ",IF([1]Source!G5609&lt;&gt;"Новый подраздел", [1]Source!G5609, ""))</f>
        <v>Итого по подразделу: Уход за бортовыми камнями</v>
      </c>
      <c r="B4557" s="42"/>
      <c r="C4557" s="42"/>
      <c r="D4557" s="42"/>
      <c r="E4557" s="42"/>
      <c r="F4557" s="42"/>
      <c r="G4557" s="42"/>
      <c r="H4557" s="42"/>
      <c r="I4557" s="43">
        <f>SUM(AA4548:AA4556)</f>
        <v>55024.020000000004</v>
      </c>
      <c r="J4557" s="44"/>
      <c r="K4557" s="47"/>
      <c r="L4557" s="38">
        <f>I4557</f>
        <v>55024.020000000004</v>
      </c>
      <c r="M4557" s="2">
        <f>ROUND(I4557*$I$4874,2)</f>
        <v>39738.720000000001</v>
      </c>
      <c r="N4557" s="2">
        <f>ROUND(M4557*1.2/105*100,2)</f>
        <v>45415.68</v>
      </c>
      <c r="O4557" s="2">
        <f>ROUND(N4557*0.05,2)</f>
        <v>2270.7800000000002</v>
      </c>
      <c r="P4557" s="2">
        <f>N4557+O4557</f>
        <v>47686.46</v>
      </c>
      <c r="Q4557" s="3">
        <v>123</v>
      </c>
      <c r="S4557" s="2">
        <v>0</v>
      </c>
    </row>
    <row r="4558" spans="1:43" x14ac:dyDescent="0.2">
      <c r="M4558"/>
      <c r="N4558"/>
      <c r="O4558"/>
      <c r="P4558"/>
      <c r="Q4558"/>
    </row>
    <row r="4559" spans="1:43" x14ac:dyDescent="0.2">
      <c r="M4559"/>
      <c r="N4559"/>
      <c r="O4559"/>
      <c r="P4559"/>
      <c r="Q4559"/>
    </row>
    <row r="4560" spans="1:43" ht="16.5" x14ac:dyDescent="0.25">
      <c r="A4560" s="29" t="str">
        <f>CONCATENATE("Подраздел: ",IF([1]Source!G5639&lt;&gt;"Новый подраздел", [1]Source!G5639, ""))</f>
        <v>Подраздел: Содержание покрытий пандусов( S=30 м2)( 20 шт.)</v>
      </c>
      <c r="B4560" s="29"/>
      <c r="C4560" s="29"/>
      <c r="D4560" s="29"/>
      <c r="E4560" s="29"/>
      <c r="F4560" s="29"/>
      <c r="G4560" s="29"/>
      <c r="H4560" s="29"/>
      <c r="I4560" s="29"/>
      <c r="J4560" s="29"/>
      <c r="K4560" s="29"/>
      <c r="M4560"/>
      <c r="N4560"/>
      <c r="O4560"/>
      <c r="P4560"/>
      <c r="Q4560"/>
    </row>
    <row r="4561" spans="1:33" ht="28.5" x14ac:dyDescent="0.2">
      <c r="A4561" s="31">
        <v>565</v>
      </c>
      <c r="B4561" s="31" t="str">
        <f>[1]Source!F5643</f>
        <v>5.3-1101-13-1/1</v>
      </c>
      <c r="C4561" s="31" t="str">
        <f>[1]Source!G5643</f>
        <v>Подметание вручную дорожек и площадок с твердым покрытием</v>
      </c>
      <c r="D4561" s="32" t="str">
        <f>[1]Source!H5643</f>
        <v>100 м2</v>
      </c>
      <c r="E4561" s="4">
        <f>[1]Source!I5643</f>
        <v>0.3</v>
      </c>
      <c r="F4561" s="33"/>
      <c r="G4561" s="34"/>
      <c r="H4561" s="4"/>
      <c r="I4561" s="4"/>
      <c r="J4561" s="33"/>
      <c r="K4561" s="33"/>
      <c r="M4561"/>
      <c r="N4561"/>
      <c r="O4561"/>
      <c r="P4561"/>
      <c r="Q4561"/>
      <c r="AB4561">
        <f>ROUND(([1]Source!BZ5643/100)*ROUND(([1]Source!AF5643*[1]Source!AV5643)*[1]Source!I5643, 2), 2)</f>
        <v>5802.13</v>
      </c>
      <c r="AC4561">
        <f>[1]Source!X5643</f>
        <v>5802.13</v>
      </c>
      <c r="AD4561">
        <f>ROUND(([1]Source!CA5643/100)*ROUND(([1]Source!AF5643*[1]Source!AV5643)*[1]Source!I5643, 2), 2)</f>
        <v>828.88</v>
      </c>
      <c r="AE4561">
        <f>[1]Source!Y5643</f>
        <v>828.88</v>
      </c>
      <c r="AF4561">
        <f>ROUND((175/100)*ROUND(([1]Source!AE5643*[1]Source!AV5643)*[1]Source!I5643, 2), 2)</f>
        <v>0</v>
      </c>
      <c r="AG4561">
        <f>ROUND((108/100)*ROUND([1]Source!CS5643*[1]Source!I5643, 2), 2)</f>
        <v>0</v>
      </c>
    </row>
    <row r="4562" spans="1:33" x14ac:dyDescent="0.2">
      <c r="C4562" s="40" t="str">
        <f>"Объем: "&amp;[1]Source!I5643&amp;"=30/"&amp;"100"</f>
        <v>Объем: 0,3=30/100</v>
      </c>
      <c r="M4562"/>
      <c r="N4562"/>
      <c r="O4562"/>
      <c r="P4562"/>
      <c r="Q4562"/>
    </row>
    <row r="4563" spans="1:33" ht="14.25" x14ac:dyDescent="0.2">
      <c r="A4563" s="31"/>
      <c r="B4563" s="31"/>
      <c r="C4563" s="31" t="s">
        <v>34</v>
      </c>
      <c r="D4563" s="32"/>
      <c r="E4563" s="4"/>
      <c r="F4563" s="33">
        <f>[1]Source!AO5643</f>
        <v>34.71</v>
      </c>
      <c r="G4563" s="34" t="str">
        <f>[1]Source!DG5643</f>
        <v>)*2*398</v>
      </c>
      <c r="H4563" s="4">
        <f>[1]Source!AV5643</f>
        <v>1</v>
      </c>
      <c r="I4563" s="4">
        <f>IF([1]Source!BA5643&lt;&gt; 0, [1]Source!BA5643, 1)</f>
        <v>1</v>
      </c>
      <c r="J4563" s="33">
        <f>[1]Source!S5643</f>
        <v>8288.75</v>
      </c>
      <c r="K4563" s="33"/>
      <c r="M4563"/>
      <c r="N4563"/>
      <c r="O4563"/>
      <c r="P4563"/>
      <c r="Q4563"/>
    </row>
    <row r="4564" spans="1:33" ht="14.25" x14ac:dyDescent="0.2">
      <c r="A4564" s="31"/>
      <c r="B4564" s="31"/>
      <c r="C4564" s="31" t="s">
        <v>40</v>
      </c>
      <c r="D4564" s="32" t="s">
        <v>39</v>
      </c>
      <c r="E4564" s="4">
        <f>[1]Source!AT5643</f>
        <v>70</v>
      </c>
      <c r="F4564" s="33"/>
      <c r="G4564" s="34"/>
      <c r="H4564" s="4"/>
      <c r="I4564" s="4"/>
      <c r="J4564" s="33">
        <f>SUM(AC4561:AC4563)</f>
        <v>5802.13</v>
      </c>
      <c r="K4564" s="33"/>
      <c r="M4564"/>
      <c r="N4564"/>
      <c r="O4564"/>
      <c r="P4564"/>
      <c r="Q4564"/>
    </row>
    <row r="4565" spans="1:33" ht="14.25" x14ac:dyDescent="0.2">
      <c r="A4565" s="31"/>
      <c r="B4565" s="31"/>
      <c r="C4565" s="31" t="s">
        <v>41</v>
      </c>
      <c r="D4565" s="32" t="s">
        <v>39</v>
      </c>
      <c r="E4565" s="4">
        <f>[1]Source!AU5643</f>
        <v>10</v>
      </c>
      <c r="F4565" s="33"/>
      <c r="G4565" s="34"/>
      <c r="H4565" s="4"/>
      <c r="I4565" s="4"/>
      <c r="J4565" s="33">
        <f>SUM(AE4561:AE4564)</f>
        <v>828.88</v>
      </c>
      <c r="K4565" s="33"/>
      <c r="M4565"/>
      <c r="N4565"/>
      <c r="O4565"/>
      <c r="P4565"/>
      <c r="Q4565"/>
    </row>
    <row r="4566" spans="1:33" ht="14.25" x14ac:dyDescent="0.2">
      <c r="A4566" s="31"/>
      <c r="B4566" s="31"/>
      <c r="C4566" s="31" t="s">
        <v>42</v>
      </c>
      <c r="D4566" s="32" t="s">
        <v>43</v>
      </c>
      <c r="E4566" s="4">
        <f>[1]Source!AQ5643</f>
        <v>0.14000000000000001</v>
      </c>
      <c r="F4566" s="33"/>
      <c r="G4566" s="34" t="str">
        <f>[1]Source!DI5643</f>
        <v>)*2*398</v>
      </c>
      <c r="H4566" s="4">
        <f>[1]Source!AV5643</f>
        <v>1</v>
      </c>
      <c r="I4566" s="4"/>
      <c r="J4566" s="33"/>
      <c r="K4566" s="33">
        <f>[1]Source!U5643</f>
        <v>33.432000000000002</v>
      </c>
      <c r="M4566"/>
      <c r="N4566"/>
      <c r="O4566"/>
      <c r="P4566"/>
      <c r="Q4566"/>
    </row>
    <row r="4567" spans="1:33" ht="15" x14ac:dyDescent="0.25">
      <c r="A4567" s="35"/>
      <c r="B4567" s="35"/>
      <c r="C4567" s="35"/>
      <c r="D4567" s="35"/>
      <c r="E4567" s="35"/>
      <c r="F4567" s="35"/>
      <c r="G4567" s="35"/>
      <c r="H4567" s="35"/>
      <c r="I4567" s="36">
        <f>J4563+J4564+J4565</f>
        <v>14919.76</v>
      </c>
      <c r="J4567" s="36"/>
      <c r="K4567" s="37">
        <f>IF([1]Source!I5643&lt;&gt;0, ROUND(I4567/[1]Source!I5643, 2), 0)</f>
        <v>49732.53</v>
      </c>
      <c r="M4567"/>
      <c r="N4567"/>
      <c r="O4567"/>
      <c r="P4567"/>
      <c r="Q4567"/>
      <c r="AA4567" s="38">
        <f>I4567</f>
        <v>14919.76</v>
      </c>
    </row>
    <row r="4568" spans="1:33" ht="14.25" x14ac:dyDescent="0.2">
      <c r="A4568" s="31">
        <v>566</v>
      </c>
      <c r="B4568" s="31" t="str">
        <f>[1]Source!F5644</f>
        <v>5.3-1101-14-1/1</v>
      </c>
      <c r="C4568" s="31" t="str">
        <f>[1]Source!G5644</f>
        <v>Полив дорожек из шланга вручную</v>
      </c>
      <c r="D4568" s="32" t="str">
        <f>[1]Source!H5644</f>
        <v>100 м2</v>
      </c>
      <c r="E4568" s="4">
        <f>[1]Source!I5644</f>
        <v>0.3</v>
      </c>
      <c r="F4568" s="33"/>
      <c r="G4568" s="34"/>
      <c r="H4568" s="4"/>
      <c r="I4568" s="4"/>
      <c r="J4568" s="33"/>
      <c r="K4568" s="33"/>
      <c r="M4568"/>
      <c r="N4568"/>
      <c r="O4568"/>
      <c r="P4568"/>
      <c r="Q4568"/>
      <c r="AB4568">
        <f>ROUND(([1]Source!BZ5644/100)*ROUND(([1]Source!AF5644*[1]Source!AV5644)*[1]Source!I5644, 2), 2)</f>
        <v>1218.29</v>
      </c>
      <c r="AC4568">
        <f>[1]Source!X5644</f>
        <v>1218.29</v>
      </c>
      <c r="AD4568">
        <f>ROUND(([1]Source!CA5644/100)*ROUND(([1]Source!AF5644*[1]Source!AV5644)*[1]Source!I5644, 2), 2)</f>
        <v>174.04</v>
      </c>
      <c r="AE4568">
        <f>[1]Source!Y5644</f>
        <v>174.04</v>
      </c>
      <c r="AF4568">
        <f>ROUND((175/100)*ROUND(([1]Source!AE5644*[1]Source!AV5644)*[1]Source!I5644, 2), 2)</f>
        <v>0</v>
      </c>
      <c r="AG4568">
        <f>ROUND((108/100)*ROUND([1]Source!CS5644*[1]Source!I5644, 2), 2)</f>
        <v>0</v>
      </c>
    </row>
    <row r="4569" spans="1:33" x14ac:dyDescent="0.2">
      <c r="C4569" s="40" t="str">
        <f>"Объем: "&amp;[1]Source!I5644&amp;"=30/"&amp;"100"</f>
        <v>Объем: 0,3=30/100</v>
      </c>
      <c r="M4569"/>
      <c r="N4569"/>
      <c r="O4569"/>
      <c r="P4569"/>
      <c r="Q4569"/>
    </row>
    <row r="4570" spans="1:33" ht="14.25" x14ac:dyDescent="0.2">
      <c r="A4570" s="31"/>
      <c r="B4570" s="31"/>
      <c r="C4570" s="31" t="s">
        <v>34</v>
      </c>
      <c r="D4570" s="32"/>
      <c r="E4570" s="4"/>
      <c r="F4570" s="33">
        <f>[1]Source!AO5644</f>
        <v>32.229999999999997</v>
      </c>
      <c r="G4570" s="34" t="str">
        <f>[1]Source!DG5644</f>
        <v>)*2*90</v>
      </c>
      <c r="H4570" s="4">
        <f>[1]Source!AV5644</f>
        <v>1</v>
      </c>
      <c r="I4570" s="4">
        <f>IF([1]Source!BA5644&lt;&gt; 0, [1]Source!BA5644, 1)</f>
        <v>1</v>
      </c>
      <c r="J4570" s="33">
        <f>[1]Source!S5644</f>
        <v>1740.42</v>
      </c>
      <c r="K4570" s="33"/>
      <c r="M4570"/>
      <c r="N4570"/>
      <c r="O4570"/>
      <c r="P4570"/>
      <c r="Q4570"/>
    </row>
    <row r="4571" spans="1:33" ht="14.25" x14ac:dyDescent="0.2">
      <c r="A4571" s="31"/>
      <c r="B4571" s="31"/>
      <c r="C4571" s="31" t="s">
        <v>47</v>
      </c>
      <c r="D4571" s="32"/>
      <c r="E4571" s="4"/>
      <c r="F4571" s="33">
        <f>[1]Source!AL5644</f>
        <v>4.24</v>
      </c>
      <c r="G4571" s="34" t="str">
        <f>[1]Source!DD5644</f>
        <v>)*2*90</v>
      </c>
      <c r="H4571" s="4">
        <f>[1]Source!AW5644</f>
        <v>1</v>
      </c>
      <c r="I4571" s="4">
        <f>IF([1]Source!BC5644&lt;&gt; 0, [1]Source!BC5644, 1)</f>
        <v>1</v>
      </c>
      <c r="J4571" s="33">
        <f>[1]Source!P5644</f>
        <v>228.96</v>
      </c>
      <c r="K4571" s="33"/>
      <c r="M4571"/>
      <c r="N4571"/>
      <c r="O4571"/>
      <c r="P4571"/>
      <c r="Q4571"/>
    </row>
    <row r="4572" spans="1:33" ht="14.25" x14ac:dyDescent="0.2">
      <c r="A4572" s="31" t="s">
        <v>200</v>
      </c>
      <c r="B4572" s="31" t="str">
        <f>[1]Source!F5645</f>
        <v>21.1-25-13</v>
      </c>
      <c r="C4572" s="31" t="str">
        <f>[1]Source!G5645</f>
        <v>Вода</v>
      </c>
      <c r="D4572" s="32" t="str">
        <f>[1]Source!H5645</f>
        <v>м3</v>
      </c>
      <c r="E4572" s="4">
        <f>[1]Source!I5645</f>
        <v>-5.4000000000000012</v>
      </c>
      <c r="F4572" s="33">
        <f>[1]Source!AK5645</f>
        <v>42.44</v>
      </c>
      <c r="G4572" s="39" t="s">
        <v>104</v>
      </c>
      <c r="H4572" s="4">
        <f>[1]Source!AW5645</f>
        <v>1</v>
      </c>
      <c r="I4572" s="4">
        <f>IF([1]Source!BC5645&lt;&gt; 0, [1]Source!BC5645, 1)</f>
        <v>1</v>
      </c>
      <c r="J4572" s="33">
        <f>[1]Source!O5645</f>
        <v>-229.18</v>
      </c>
      <c r="K4572" s="33"/>
      <c r="M4572"/>
      <c r="N4572"/>
      <c r="O4572"/>
      <c r="P4572"/>
      <c r="Q4572"/>
      <c r="AB4572">
        <f>ROUND(([1]Source!BZ5645/100)*ROUND(([1]Source!AF5645*[1]Source!AV5645)*[1]Source!I5645, 2), 2)</f>
        <v>0</v>
      </c>
      <c r="AC4572">
        <f>[1]Source!X5645</f>
        <v>0</v>
      </c>
      <c r="AD4572">
        <f>ROUND(([1]Source!CA5645/100)*ROUND(([1]Source!AF5645*[1]Source!AV5645)*[1]Source!I5645, 2), 2)</f>
        <v>0</v>
      </c>
      <c r="AE4572">
        <f>[1]Source!Y5645</f>
        <v>0</v>
      </c>
      <c r="AF4572">
        <f>ROUND((175/100)*ROUND(([1]Source!AE5645*[1]Source!AV5645)*[1]Source!I5645, 2), 2)</f>
        <v>0</v>
      </c>
      <c r="AG4572">
        <f>ROUND((108/100)*ROUND([1]Source!CS5645*[1]Source!I5645, 2), 2)</f>
        <v>0</v>
      </c>
    </row>
    <row r="4573" spans="1:33" ht="14.25" x14ac:dyDescent="0.2">
      <c r="A4573" s="31"/>
      <c r="B4573" s="31"/>
      <c r="C4573" s="31" t="s">
        <v>40</v>
      </c>
      <c r="D4573" s="32" t="s">
        <v>39</v>
      </c>
      <c r="E4573" s="4">
        <f>[1]Source!AT5644</f>
        <v>70</v>
      </c>
      <c r="F4573" s="33"/>
      <c r="G4573" s="34"/>
      <c r="H4573" s="4"/>
      <c r="I4573" s="4"/>
      <c r="J4573" s="33">
        <f>SUM(AC4568:AC4572)</f>
        <v>1218.29</v>
      </c>
      <c r="K4573" s="33"/>
      <c r="M4573"/>
      <c r="N4573"/>
      <c r="O4573"/>
      <c r="P4573"/>
      <c r="Q4573"/>
    </row>
    <row r="4574" spans="1:33" ht="14.25" x14ac:dyDescent="0.2">
      <c r="A4574" s="31"/>
      <c r="B4574" s="31"/>
      <c r="C4574" s="31" t="s">
        <v>41</v>
      </c>
      <c r="D4574" s="32" t="s">
        <v>39</v>
      </c>
      <c r="E4574" s="4">
        <f>[1]Source!AU5644</f>
        <v>10</v>
      </c>
      <c r="F4574" s="33"/>
      <c r="G4574" s="34"/>
      <c r="H4574" s="4"/>
      <c r="I4574" s="4"/>
      <c r="J4574" s="33">
        <f>SUM(AE4568:AE4573)</f>
        <v>174.04</v>
      </c>
      <c r="K4574" s="33"/>
      <c r="M4574"/>
      <c r="N4574"/>
      <c r="O4574"/>
      <c r="P4574"/>
      <c r="Q4574"/>
    </row>
    <row r="4575" spans="1:33" ht="14.25" x14ac:dyDescent="0.2">
      <c r="A4575" s="31"/>
      <c r="B4575" s="31"/>
      <c r="C4575" s="31" t="s">
        <v>42</v>
      </c>
      <c r="D4575" s="32" t="s">
        <v>43</v>
      </c>
      <c r="E4575" s="4">
        <f>[1]Source!AQ5644</f>
        <v>0.13</v>
      </c>
      <c r="F4575" s="33"/>
      <c r="G4575" s="34" t="str">
        <f>[1]Source!DI5644</f>
        <v>)*2*90</v>
      </c>
      <c r="H4575" s="4">
        <f>[1]Source!AV5644</f>
        <v>1</v>
      </c>
      <c r="I4575" s="4"/>
      <c r="J4575" s="33"/>
      <c r="K4575" s="33">
        <f>[1]Source!U5644</f>
        <v>7.0200000000000005</v>
      </c>
      <c r="M4575"/>
      <c r="N4575"/>
      <c r="O4575"/>
      <c r="P4575"/>
      <c r="Q4575"/>
    </row>
    <row r="4576" spans="1:33" ht="15" x14ac:dyDescent="0.25">
      <c r="A4576" s="35"/>
      <c r="B4576" s="35"/>
      <c r="C4576" s="35"/>
      <c r="D4576" s="35"/>
      <c r="E4576" s="35"/>
      <c r="F4576" s="35"/>
      <c r="G4576" s="35"/>
      <c r="H4576" s="35"/>
      <c r="I4576" s="36">
        <f>J4570+J4571+J4573+J4574+SUM(J4572:J4572)</f>
        <v>3132.53</v>
      </c>
      <c r="J4576" s="36"/>
      <c r="K4576" s="37">
        <f>IF([1]Source!I5644&lt;&gt;0, ROUND(I4576/[1]Source!I5644, 2), 0)</f>
        <v>10441.77</v>
      </c>
      <c r="M4576"/>
      <c r="N4576"/>
      <c r="O4576"/>
      <c r="P4576"/>
      <c r="Q4576"/>
      <c r="AA4576" s="38">
        <f>I4576</f>
        <v>3132.53</v>
      </c>
    </row>
    <row r="4577" spans="1:33" x14ac:dyDescent="0.2">
      <c r="M4577"/>
      <c r="N4577"/>
      <c r="O4577"/>
      <c r="P4577"/>
      <c r="Q4577"/>
    </row>
    <row r="4578" spans="1:33" ht="15" x14ac:dyDescent="0.25">
      <c r="A4578" s="42" t="str">
        <f>CONCATENATE("Итого по подразделу: ",IF([1]Source!G5647&lt;&gt;"Новый подраздел", [1]Source!G5647, ""))</f>
        <v>Итого по подразделу: Содержание покрытий пандусов( S=30 м2)( 20 шт.)</v>
      </c>
      <c r="B4578" s="42"/>
      <c r="C4578" s="42"/>
      <c r="D4578" s="42"/>
      <c r="E4578" s="42"/>
      <c r="F4578" s="42"/>
      <c r="G4578" s="42"/>
      <c r="H4578" s="42"/>
      <c r="I4578" s="43">
        <f>SUM(AA4560:AA4577)</f>
        <v>18052.29</v>
      </c>
      <c r="J4578" s="44"/>
      <c r="K4578" s="47"/>
      <c r="L4578" s="38">
        <f>I4578</f>
        <v>18052.29</v>
      </c>
      <c r="M4578" s="2">
        <f>ROUND(I4578*$I$4874,2)</f>
        <v>13037.49</v>
      </c>
      <c r="N4578" s="2">
        <f>ROUND(M4578*1.2/105*100,2)</f>
        <v>14899.99</v>
      </c>
      <c r="O4578" s="2">
        <f>ROUND(N4578*0.05,2)</f>
        <v>745</v>
      </c>
      <c r="P4578" s="2">
        <f>N4578+O4578</f>
        <v>15644.99</v>
      </c>
      <c r="Q4578" s="3">
        <v>124</v>
      </c>
      <c r="S4578" s="2">
        <v>0</v>
      </c>
    </row>
    <row r="4579" spans="1:33" x14ac:dyDescent="0.2">
      <c r="M4579"/>
      <c r="N4579"/>
      <c r="O4579"/>
      <c r="P4579"/>
      <c r="Q4579"/>
    </row>
    <row r="4580" spans="1:33" x14ac:dyDescent="0.2">
      <c r="M4580"/>
      <c r="N4580"/>
      <c r="O4580"/>
      <c r="P4580"/>
      <c r="Q4580"/>
    </row>
    <row r="4581" spans="1:33" ht="16.5" x14ac:dyDescent="0.25">
      <c r="A4581" s="29" t="str">
        <f>CONCATENATE("Подраздел: ",IF([1]Source!G5677&lt;&gt;"Новый подраздел", [1]Source!G5677, ""))</f>
        <v>Подраздел: Уход за подпорными стенками ( S=148 м2)</v>
      </c>
      <c r="B4581" s="29"/>
      <c r="C4581" s="29"/>
      <c r="D4581" s="29"/>
      <c r="E4581" s="29"/>
      <c r="F4581" s="29"/>
      <c r="G4581" s="29"/>
      <c r="H4581" s="29"/>
      <c r="I4581" s="29"/>
      <c r="J4581" s="29"/>
      <c r="K4581" s="29"/>
      <c r="M4581"/>
      <c r="N4581"/>
      <c r="O4581"/>
      <c r="P4581"/>
      <c r="Q4581"/>
    </row>
    <row r="4582" spans="1:33" ht="42.75" x14ac:dyDescent="0.2">
      <c r="A4582" s="31">
        <v>567</v>
      </c>
      <c r="B4582" s="31" t="str">
        <f>[1]Source!F5681</f>
        <v>5.3-1101-5-1/1</v>
      </c>
      <c r="C4582" s="31" t="str">
        <f>[1]Source!G5681</f>
        <v>Промывка оград железобетонных от пыли и грязи водой под напором( подпорные гранитные стенки)( прим.)</v>
      </c>
      <c r="D4582" s="32" t="str">
        <f>[1]Source!H5681</f>
        <v>100 м2</v>
      </c>
      <c r="E4582" s="4">
        <f>[1]Source!I5681</f>
        <v>1.48</v>
      </c>
      <c r="F4582" s="33"/>
      <c r="G4582" s="34"/>
      <c r="H4582" s="4"/>
      <c r="I4582" s="4"/>
      <c r="J4582" s="33"/>
      <c r="K4582" s="33"/>
      <c r="M4582"/>
      <c r="N4582"/>
      <c r="O4582"/>
      <c r="P4582"/>
      <c r="Q4582"/>
      <c r="AB4582">
        <f>ROUND(([1]Source!BZ5681/100)*ROUND(([1]Source!AF5681*[1]Source!AV5681)*[1]Source!I5681, 2), 2)</f>
        <v>1058.25</v>
      </c>
      <c r="AC4582">
        <f>[1]Source!X5681</f>
        <v>1058.25</v>
      </c>
      <c r="AD4582">
        <f>ROUND(([1]Source!CA5681/100)*ROUND(([1]Source!AF5681*[1]Source!AV5681)*[1]Source!I5681, 2), 2)</f>
        <v>151.18</v>
      </c>
      <c r="AE4582">
        <f>[1]Source!Y5681</f>
        <v>151.18</v>
      </c>
      <c r="AF4582">
        <f>ROUND((175/100)*ROUND(([1]Source!AE5681*[1]Source!AV5681)*[1]Source!I5681, 2), 2)</f>
        <v>6326.74</v>
      </c>
      <c r="AG4582">
        <f>ROUND((108/100)*ROUND([1]Source!CS5681*[1]Source!I5681, 2), 2)</f>
        <v>3904.5</v>
      </c>
    </row>
    <row r="4583" spans="1:33" x14ac:dyDescent="0.2">
      <c r="C4583" s="40" t="str">
        <f>"Объем: "&amp;[1]Source!I5681&amp;"=148/"&amp;"100"</f>
        <v>Объем: 1,48=148/100</v>
      </c>
      <c r="M4583"/>
      <c r="N4583"/>
      <c r="O4583"/>
      <c r="P4583"/>
      <c r="Q4583"/>
    </row>
    <row r="4584" spans="1:33" ht="14.25" x14ac:dyDescent="0.2">
      <c r="A4584" s="31"/>
      <c r="B4584" s="31"/>
      <c r="C4584" s="31" t="s">
        <v>34</v>
      </c>
      <c r="D4584" s="32"/>
      <c r="E4584" s="4"/>
      <c r="F4584" s="33">
        <f>[1]Source!AO5681</f>
        <v>255.37</v>
      </c>
      <c r="G4584" s="34" t="str">
        <f>[1]Source!DG5681</f>
        <v>)*1*4</v>
      </c>
      <c r="H4584" s="4">
        <f>[1]Source!AV5681</f>
        <v>1</v>
      </c>
      <c r="I4584" s="4">
        <f>IF([1]Source!BA5681&lt;&gt; 0, [1]Source!BA5681, 1)</f>
        <v>1</v>
      </c>
      <c r="J4584" s="33">
        <f>[1]Source!S5681</f>
        <v>1511.79</v>
      </c>
      <c r="K4584" s="33"/>
      <c r="M4584"/>
      <c r="N4584"/>
      <c r="O4584"/>
      <c r="P4584"/>
      <c r="Q4584"/>
    </row>
    <row r="4585" spans="1:33" ht="14.25" x14ac:dyDescent="0.2">
      <c r="A4585" s="31"/>
      <c r="B4585" s="31"/>
      <c r="C4585" s="31" t="s">
        <v>33</v>
      </c>
      <c r="D4585" s="32"/>
      <c r="E4585" s="4"/>
      <c r="F4585" s="33">
        <f>[1]Source!AM5681</f>
        <v>1655.86</v>
      </c>
      <c r="G4585" s="34" t="str">
        <f>[1]Source!DE5681</f>
        <v>)*1*4</v>
      </c>
      <c r="H4585" s="4">
        <f>[1]Source!AV5681</f>
        <v>1</v>
      </c>
      <c r="I4585" s="4">
        <f>IF([1]Source!BB5681&lt;&gt; 0, [1]Source!BB5681, 1)</f>
        <v>1</v>
      </c>
      <c r="J4585" s="33">
        <f>[1]Source!Q5681</f>
        <v>9802.69</v>
      </c>
      <c r="K4585" s="33"/>
      <c r="M4585"/>
      <c r="N4585"/>
      <c r="O4585"/>
      <c r="P4585"/>
      <c r="Q4585"/>
    </row>
    <row r="4586" spans="1:33" ht="14.25" x14ac:dyDescent="0.2">
      <c r="A4586" s="31"/>
      <c r="B4586" s="31"/>
      <c r="C4586" s="31" t="s">
        <v>37</v>
      </c>
      <c r="D4586" s="32"/>
      <c r="E4586" s="4"/>
      <c r="F4586" s="33">
        <f>[1]Source!AN5681</f>
        <v>610.69000000000005</v>
      </c>
      <c r="G4586" s="34" t="str">
        <f>[1]Source!DF5681</f>
        <v>)*1*4</v>
      </c>
      <c r="H4586" s="4">
        <f>[1]Source!AV5681</f>
        <v>1</v>
      </c>
      <c r="I4586" s="4">
        <f>IF([1]Source!BS5681&lt;&gt; 0, [1]Source!BS5681, 1)</f>
        <v>1</v>
      </c>
      <c r="J4586" s="41">
        <f>[1]Source!R5681</f>
        <v>3615.28</v>
      </c>
      <c r="K4586" s="33"/>
      <c r="M4586"/>
      <c r="N4586"/>
      <c r="O4586"/>
      <c r="P4586"/>
      <c r="Q4586"/>
    </row>
    <row r="4587" spans="1:33" ht="14.25" x14ac:dyDescent="0.2">
      <c r="A4587" s="31"/>
      <c r="B4587" s="31"/>
      <c r="C4587" s="31" t="s">
        <v>47</v>
      </c>
      <c r="D4587" s="32"/>
      <c r="E4587" s="4"/>
      <c r="F4587" s="33">
        <f>[1]Source!AL5681</f>
        <v>25.46</v>
      </c>
      <c r="G4587" s="34" t="str">
        <f>[1]Source!DD5681</f>
        <v>)*1*4</v>
      </c>
      <c r="H4587" s="4">
        <f>[1]Source!AW5681</f>
        <v>1</v>
      </c>
      <c r="I4587" s="4">
        <f>IF([1]Source!BC5681&lt;&gt; 0, [1]Source!BC5681, 1)</f>
        <v>1</v>
      </c>
      <c r="J4587" s="33">
        <f>[1]Source!P5681</f>
        <v>150.72</v>
      </c>
      <c r="K4587" s="33"/>
      <c r="M4587"/>
      <c r="N4587"/>
      <c r="O4587"/>
      <c r="P4587"/>
      <c r="Q4587"/>
    </row>
    <row r="4588" spans="1:33" ht="14.25" x14ac:dyDescent="0.2">
      <c r="A4588" s="31" t="s">
        <v>201</v>
      </c>
      <c r="B4588" s="31" t="str">
        <f>[1]Source!F5682</f>
        <v>21.1-25-13</v>
      </c>
      <c r="C4588" s="31" t="str">
        <f>[1]Source!G5682</f>
        <v>Вода</v>
      </c>
      <c r="D4588" s="32" t="str">
        <f>[1]Source!H5682</f>
        <v>м3</v>
      </c>
      <c r="E4588" s="4">
        <f>[1]Source!I5682</f>
        <v>-3.552</v>
      </c>
      <c r="F4588" s="33">
        <f>[1]Source!AK5682</f>
        <v>42.44</v>
      </c>
      <c r="G4588" s="39" t="s">
        <v>127</v>
      </c>
      <c r="H4588" s="4">
        <f>[1]Source!AW5682</f>
        <v>1</v>
      </c>
      <c r="I4588" s="4">
        <f>IF([1]Source!BC5682&lt;&gt; 0, [1]Source!BC5682, 1)</f>
        <v>1</v>
      </c>
      <c r="J4588" s="33">
        <f>[1]Source!O5682</f>
        <v>-150.75</v>
      </c>
      <c r="K4588" s="33"/>
      <c r="M4588"/>
      <c r="N4588"/>
      <c r="O4588"/>
      <c r="P4588"/>
      <c r="Q4588"/>
      <c r="AB4588">
        <f>ROUND(([1]Source!BZ5682/100)*ROUND(([1]Source!AF5682*[1]Source!AV5682)*[1]Source!I5682, 2), 2)</f>
        <v>0</v>
      </c>
      <c r="AC4588">
        <f>[1]Source!X5682</f>
        <v>0</v>
      </c>
      <c r="AD4588">
        <f>ROUND(([1]Source!CA5682/100)*ROUND(([1]Source!AF5682*[1]Source!AV5682)*[1]Source!I5682, 2), 2)</f>
        <v>0</v>
      </c>
      <c r="AE4588">
        <f>[1]Source!Y5682</f>
        <v>0</v>
      </c>
      <c r="AF4588">
        <f>ROUND((175/100)*ROUND(([1]Source!AE5682*[1]Source!AV5682)*[1]Source!I5682, 2), 2)</f>
        <v>0</v>
      </c>
      <c r="AG4588">
        <f>ROUND((108/100)*ROUND([1]Source!CS5682*[1]Source!I5682, 2), 2)</f>
        <v>0</v>
      </c>
    </row>
    <row r="4589" spans="1:33" ht="14.25" x14ac:dyDescent="0.2">
      <c r="A4589" s="31"/>
      <c r="B4589" s="31"/>
      <c r="C4589" s="31" t="s">
        <v>40</v>
      </c>
      <c r="D4589" s="32" t="s">
        <v>39</v>
      </c>
      <c r="E4589" s="4">
        <f>[1]Source!AT5681</f>
        <v>70</v>
      </c>
      <c r="F4589" s="33"/>
      <c r="G4589" s="34"/>
      <c r="H4589" s="4"/>
      <c r="I4589" s="4"/>
      <c r="J4589" s="33">
        <f>SUM(AC4582:AC4588)</f>
        <v>1058.25</v>
      </c>
      <c r="K4589" s="33"/>
      <c r="M4589"/>
      <c r="N4589"/>
      <c r="O4589"/>
      <c r="P4589"/>
      <c r="Q4589"/>
    </row>
    <row r="4590" spans="1:33" ht="14.25" x14ac:dyDescent="0.2">
      <c r="A4590" s="31"/>
      <c r="B4590" s="31"/>
      <c r="C4590" s="31" t="s">
        <v>41</v>
      </c>
      <c r="D4590" s="32" t="s">
        <v>39</v>
      </c>
      <c r="E4590" s="4">
        <f>[1]Source!AU5681</f>
        <v>10</v>
      </c>
      <c r="F4590" s="33"/>
      <c r="G4590" s="34"/>
      <c r="H4590" s="4"/>
      <c r="I4590" s="4"/>
      <c r="J4590" s="33">
        <f>SUM(AE4582:AE4589)</f>
        <v>151.18</v>
      </c>
      <c r="K4590" s="33"/>
      <c r="M4590"/>
      <c r="N4590"/>
      <c r="O4590"/>
      <c r="P4590"/>
      <c r="Q4590"/>
    </row>
    <row r="4591" spans="1:33" ht="14.25" x14ac:dyDescent="0.2">
      <c r="A4591" s="31"/>
      <c r="B4591" s="31"/>
      <c r="C4591" s="31" t="s">
        <v>38</v>
      </c>
      <c r="D4591" s="32" t="s">
        <v>39</v>
      </c>
      <c r="E4591" s="4">
        <f>108</f>
        <v>108</v>
      </c>
      <c r="F4591" s="33"/>
      <c r="G4591" s="34"/>
      <c r="H4591" s="4"/>
      <c r="I4591" s="4"/>
      <c r="J4591" s="33">
        <f>SUM(AG4582:AG4590)</f>
        <v>3904.5</v>
      </c>
      <c r="K4591" s="33"/>
      <c r="M4591"/>
      <c r="N4591"/>
      <c r="O4591"/>
      <c r="P4591"/>
      <c r="Q4591"/>
    </row>
    <row r="4592" spans="1:33" ht="14.25" x14ac:dyDescent="0.2">
      <c r="A4592" s="31"/>
      <c r="B4592" s="31"/>
      <c r="C4592" s="31" t="s">
        <v>42</v>
      </c>
      <c r="D4592" s="32" t="s">
        <v>43</v>
      </c>
      <c r="E4592" s="4">
        <f>[1]Source!AQ5681</f>
        <v>1.03</v>
      </c>
      <c r="F4592" s="33"/>
      <c r="G4592" s="34" t="str">
        <f>[1]Source!DI5681</f>
        <v>)*1*4</v>
      </c>
      <c r="H4592" s="4">
        <f>[1]Source!AV5681</f>
        <v>1</v>
      </c>
      <c r="I4592" s="4"/>
      <c r="J4592" s="33"/>
      <c r="K4592" s="33">
        <f>[1]Source!U5681</f>
        <v>6.0975999999999999</v>
      </c>
      <c r="M4592"/>
      <c r="N4592"/>
      <c r="O4592"/>
      <c r="P4592"/>
      <c r="Q4592"/>
    </row>
    <row r="4593" spans="1:33" ht="15" x14ac:dyDescent="0.25">
      <c r="A4593" s="35"/>
      <c r="B4593" s="35"/>
      <c r="C4593" s="35"/>
      <c r="D4593" s="35"/>
      <c r="E4593" s="35"/>
      <c r="F4593" s="35"/>
      <c r="G4593" s="35"/>
      <c r="H4593" s="35"/>
      <c r="I4593" s="36">
        <f>J4584+J4585+J4587+J4589+J4590+J4591+SUM(J4588:J4588)</f>
        <v>16428.379999999997</v>
      </c>
      <c r="J4593" s="36"/>
      <c r="K4593" s="37">
        <f>IF([1]Source!I5681&lt;&gt;0, ROUND(I4593/[1]Source!I5681, 2), 0)</f>
        <v>11100.26</v>
      </c>
      <c r="M4593"/>
      <c r="N4593"/>
      <c r="O4593"/>
      <c r="P4593"/>
      <c r="Q4593"/>
      <c r="AA4593" s="38">
        <f>I4593</f>
        <v>16428.379999999997</v>
      </c>
    </row>
    <row r="4594" spans="1:33" ht="42.75" x14ac:dyDescent="0.2">
      <c r="A4594" s="31">
        <v>568</v>
      </c>
      <c r="B4594" s="31" t="str">
        <f>[1]Source!F5683</f>
        <v>5.3-1101-7-1/1</v>
      </c>
      <c r="C4594" s="31" t="str">
        <f>[1]Source!G5683</f>
        <v>Протирка оград железобетонных от пыли и грязи( подпорные гранитные стенки)(прим.)</v>
      </c>
      <c r="D4594" s="32" t="str">
        <f>[1]Source!H5683</f>
        <v>100 м2</v>
      </c>
      <c r="E4594" s="4">
        <f>[1]Source!I5683</f>
        <v>1.48</v>
      </c>
      <c r="F4594" s="33"/>
      <c r="G4594" s="34"/>
      <c r="H4594" s="4"/>
      <c r="I4594" s="4"/>
      <c r="J4594" s="33"/>
      <c r="K4594" s="33"/>
      <c r="M4594"/>
      <c r="N4594"/>
      <c r="O4594"/>
      <c r="P4594"/>
      <c r="Q4594"/>
      <c r="AB4594">
        <f>ROUND(([1]Source!BZ5683/100)*ROUND(([1]Source!AF5683*[1]Source!AV5683)*[1]Source!I5683, 2), 2)</f>
        <v>18622</v>
      </c>
      <c r="AC4594">
        <f>[1]Source!X5683</f>
        <v>18622</v>
      </c>
      <c r="AD4594">
        <f>ROUND(([1]Source!CA5683/100)*ROUND(([1]Source!AF5683*[1]Source!AV5683)*[1]Source!I5683, 2), 2)</f>
        <v>2660.29</v>
      </c>
      <c r="AE4594">
        <f>[1]Source!Y5683</f>
        <v>2660.29</v>
      </c>
      <c r="AF4594">
        <f>ROUND((175/100)*ROUND(([1]Source!AE5683*[1]Source!AV5683)*[1]Source!I5683, 2), 2)</f>
        <v>0</v>
      </c>
      <c r="AG4594">
        <f>ROUND((108/100)*ROUND([1]Source!CS5683*[1]Source!I5683, 2), 2)</f>
        <v>0</v>
      </c>
    </row>
    <row r="4595" spans="1:33" x14ac:dyDescent="0.2">
      <c r="C4595" s="40" t="str">
        <f>"Объем: "&amp;[1]Source!I5683&amp;"=148/"&amp;"100"</f>
        <v>Объем: 1,48=148/100</v>
      </c>
      <c r="M4595"/>
      <c r="N4595"/>
      <c r="O4595"/>
      <c r="P4595"/>
      <c r="Q4595"/>
    </row>
    <row r="4596" spans="1:33" ht="14.25" x14ac:dyDescent="0.2">
      <c r="A4596" s="31"/>
      <c r="B4596" s="31"/>
      <c r="C4596" s="31" t="s">
        <v>34</v>
      </c>
      <c r="D4596" s="32"/>
      <c r="E4596" s="4"/>
      <c r="F4596" s="33">
        <f>[1]Source!AO5683</f>
        <v>1797.49</v>
      </c>
      <c r="G4596" s="34" t="str">
        <f>[1]Source!DG5683</f>
        <v>)*1*10</v>
      </c>
      <c r="H4596" s="4">
        <f>[1]Source!AV5683</f>
        <v>1</v>
      </c>
      <c r="I4596" s="4">
        <f>IF([1]Source!BA5683&lt;&gt; 0, [1]Source!BA5683, 1)</f>
        <v>1</v>
      </c>
      <c r="J4596" s="33">
        <f>[1]Source!S5683</f>
        <v>26602.85</v>
      </c>
      <c r="K4596" s="33"/>
      <c r="M4596"/>
      <c r="N4596"/>
      <c r="O4596"/>
      <c r="P4596"/>
      <c r="Q4596"/>
    </row>
    <row r="4597" spans="1:33" ht="14.25" x14ac:dyDescent="0.2">
      <c r="A4597" s="31"/>
      <c r="B4597" s="31"/>
      <c r="C4597" s="31" t="s">
        <v>47</v>
      </c>
      <c r="D4597" s="32"/>
      <c r="E4597" s="4"/>
      <c r="F4597" s="33">
        <f>[1]Source!AL5683</f>
        <v>5.42</v>
      </c>
      <c r="G4597" s="34" t="str">
        <f>[1]Source!DD5683</f>
        <v>)*1*10</v>
      </c>
      <c r="H4597" s="4">
        <f>[1]Source!AW5683</f>
        <v>1</v>
      </c>
      <c r="I4597" s="4">
        <f>IF([1]Source!BC5683&lt;&gt; 0, [1]Source!BC5683, 1)</f>
        <v>1</v>
      </c>
      <c r="J4597" s="33">
        <f>[1]Source!P5683</f>
        <v>80.22</v>
      </c>
      <c r="K4597" s="33"/>
      <c r="M4597"/>
      <c r="N4597"/>
      <c r="O4597"/>
      <c r="P4597"/>
      <c r="Q4597"/>
    </row>
    <row r="4598" spans="1:33" ht="14.25" x14ac:dyDescent="0.2">
      <c r="A4598" s="31" t="s">
        <v>202</v>
      </c>
      <c r="B4598" s="31" t="str">
        <f>[1]Source!F5684</f>
        <v>21.1-25-13</v>
      </c>
      <c r="C4598" s="31" t="str">
        <f>[1]Source!G5684</f>
        <v>Вода</v>
      </c>
      <c r="D4598" s="32" t="str">
        <f>[1]Source!H5684</f>
        <v>м3</v>
      </c>
      <c r="E4598" s="4">
        <f>[1]Source!I5684</f>
        <v>-0.29599999999999999</v>
      </c>
      <c r="F4598" s="33">
        <f>[1]Source!AK5684</f>
        <v>42.44</v>
      </c>
      <c r="G4598" s="39" t="s">
        <v>158</v>
      </c>
      <c r="H4598" s="4">
        <f>[1]Source!AW5684</f>
        <v>1</v>
      </c>
      <c r="I4598" s="4">
        <f>IF([1]Source!BC5684&lt;&gt; 0, [1]Source!BC5684, 1)</f>
        <v>1</v>
      </c>
      <c r="J4598" s="33">
        <f>[1]Source!O5684</f>
        <v>-12.56</v>
      </c>
      <c r="K4598" s="33"/>
      <c r="M4598"/>
      <c r="N4598"/>
      <c r="O4598"/>
      <c r="P4598"/>
      <c r="Q4598"/>
      <c r="AB4598">
        <f>ROUND(([1]Source!BZ5684/100)*ROUND(([1]Source!AF5684*[1]Source!AV5684)*[1]Source!I5684, 2), 2)</f>
        <v>0</v>
      </c>
      <c r="AC4598">
        <f>[1]Source!X5684</f>
        <v>0</v>
      </c>
      <c r="AD4598">
        <f>ROUND(([1]Source!CA5684/100)*ROUND(([1]Source!AF5684*[1]Source!AV5684)*[1]Source!I5684, 2), 2)</f>
        <v>0</v>
      </c>
      <c r="AE4598">
        <f>[1]Source!Y5684</f>
        <v>0</v>
      </c>
      <c r="AF4598">
        <f>ROUND((175/100)*ROUND(([1]Source!AE5684*[1]Source!AV5684)*[1]Source!I5684, 2), 2)</f>
        <v>0</v>
      </c>
      <c r="AG4598">
        <f>ROUND((108/100)*ROUND([1]Source!CS5684*[1]Source!I5684, 2), 2)</f>
        <v>0</v>
      </c>
    </row>
    <row r="4599" spans="1:33" ht="14.25" x14ac:dyDescent="0.2">
      <c r="A4599" s="31"/>
      <c r="B4599" s="31"/>
      <c r="C4599" s="31" t="s">
        <v>40</v>
      </c>
      <c r="D4599" s="32" t="s">
        <v>39</v>
      </c>
      <c r="E4599" s="4">
        <f>[1]Source!AT5683</f>
        <v>70</v>
      </c>
      <c r="F4599" s="33"/>
      <c r="G4599" s="34"/>
      <c r="H4599" s="4"/>
      <c r="I4599" s="4"/>
      <c r="J4599" s="33">
        <f>SUM(AC4594:AC4598)</f>
        <v>18622</v>
      </c>
      <c r="K4599" s="33"/>
      <c r="M4599"/>
      <c r="N4599"/>
      <c r="O4599"/>
      <c r="P4599"/>
      <c r="Q4599"/>
    </row>
    <row r="4600" spans="1:33" ht="14.25" x14ac:dyDescent="0.2">
      <c r="A4600" s="31"/>
      <c r="B4600" s="31"/>
      <c r="C4600" s="31" t="s">
        <v>41</v>
      </c>
      <c r="D4600" s="32" t="s">
        <v>39</v>
      </c>
      <c r="E4600" s="4">
        <f>[1]Source!AU5683</f>
        <v>10</v>
      </c>
      <c r="F4600" s="33"/>
      <c r="G4600" s="34"/>
      <c r="H4600" s="4"/>
      <c r="I4600" s="4"/>
      <c r="J4600" s="33">
        <f>SUM(AE4594:AE4599)</f>
        <v>2660.29</v>
      </c>
      <c r="K4600" s="33"/>
      <c r="M4600"/>
      <c r="N4600"/>
      <c r="O4600"/>
      <c r="P4600"/>
      <c r="Q4600"/>
    </row>
    <row r="4601" spans="1:33" ht="14.25" x14ac:dyDescent="0.2">
      <c r="A4601" s="31"/>
      <c r="B4601" s="31"/>
      <c r="C4601" s="31" t="s">
        <v>42</v>
      </c>
      <c r="D4601" s="32" t="s">
        <v>43</v>
      </c>
      <c r="E4601" s="4">
        <f>[1]Source!AQ5683</f>
        <v>7.25</v>
      </c>
      <c r="F4601" s="33"/>
      <c r="G4601" s="34" t="str">
        <f>[1]Source!DI5683</f>
        <v>)*1*10</v>
      </c>
      <c r="H4601" s="4">
        <f>[1]Source!AV5683</f>
        <v>1</v>
      </c>
      <c r="I4601" s="4"/>
      <c r="J4601" s="33"/>
      <c r="K4601" s="33">
        <f>[1]Source!U5683</f>
        <v>107.3</v>
      </c>
      <c r="M4601"/>
      <c r="N4601"/>
      <c r="O4601"/>
      <c r="P4601"/>
      <c r="Q4601"/>
    </row>
    <row r="4602" spans="1:33" ht="15" x14ac:dyDescent="0.25">
      <c r="A4602" s="35"/>
      <c r="B4602" s="35"/>
      <c r="C4602" s="35"/>
      <c r="D4602" s="35"/>
      <c r="E4602" s="35"/>
      <c r="F4602" s="35"/>
      <c r="G4602" s="35"/>
      <c r="H4602" s="35"/>
      <c r="I4602" s="36">
        <f>J4596+J4597+J4599+J4600+SUM(J4598:J4598)</f>
        <v>47952.800000000003</v>
      </c>
      <c r="J4602" s="36"/>
      <c r="K4602" s="37">
        <f>IF([1]Source!I5683&lt;&gt;0, ROUND(I4602/[1]Source!I5683, 2), 0)</f>
        <v>32400.54</v>
      </c>
      <c r="M4602"/>
      <c r="N4602"/>
      <c r="O4602"/>
      <c r="P4602"/>
      <c r="Q4602"/>
      <c r="AA4602" s="38">
        <f>I4602</f>
        <v>47952.800000000003</v>
      </c>
    </row>
    <row r="4603" spans="1:33" x14ac:dyDescent="0.2">
      <c r="M4603"/>
      <c r="N4603"/>
      <c r="O4603"/>
      <c r="P4603"/>
      <c r="Q4603"/>
    </row>
    <row r="4604" spans="1:33" ht="15" x14ac:dyDescent="0.25">
      <c r="A4604" s="42" t="str">
        <f>CONCATENATE("Итого по подразделу: ",IF([1]Source!G5686&lt;&gt;"Новый подраздел", [1]Source!G5686, ""))</f>
        <v>Итого по подразделу: Уход за подпорными стенками ( S=148 м2)</v>
      </c>
      <c r="B4604" s="42"/>
      <c r="C4604" s="42"/>
      <c r="D4604" s="42"/>
      <c r="E4604" s="42"/>
      <c r="F4604" s="42"/>
      <c r="G4604" s="42"/>
      <c r="H4604" s="42"/>
      <c r="I4604" s="43">
        <f>SUM(AA4581:AA4603)</f>
        <v>64381.18</v>
      </c>
      <c r="J4604" s="44"/>
      <c r="K4604" s="47"/>
      <c r="L4604" s="38">
        <f>I4604</f>
        <v>64381.18</v>
      </c>
      <c r="M4604" s="2">
        <f>ROUND(I4604*$I$4874,2)</f>
        <v>46496.53</v>
      </c>
      <c r="N4604" s="2">
        <f>ROUND(M4604*1.2/105*100,2)</f>
        <v>53138.89</v>
      </c>
      <c r="O4604" s="2">
        <f>ROUND(N4604*0.05,2)</f>
        <v>2656.94</v>
      </c>
      <c r="P4604" s="2">
        <f>N4604+O4604</f>
        <v>55795.83</v>
      </c>
      <c r="Q4604" s="3">
        <v>111</v>
      </c>
      <c r="S4604" s="2">
        <v>0</v>
      </c>
    </row>
    <row r="4605" spans="1:33" x14ac:dyDescent="0.2">
      <c r="M4605"/>
      <c r="N4605"/>
      <c r="O4605"/>
      <c r="P4605"/>
      <c r="Q4605"/>
    </row>
    <row r="4606" spans="1:33" x14ac:dyDescent="0.2">
      <c r="M4606"/>
      <c r="N4606"/>
      <c r="O4606"/>
      <c r="P4606"/>
      <c r="Q4606"/>
    </row>
    <row r="4607" spans="1:33" ht="16.5" x14ac:dyDescent="0.25">
      <c r="A4607" s="29" t="str">
        <f>CONCATENATE("Подраздел: ",IF([1]Source!G5716&lt;&gt;"Новый подраздел", [1]Source!G5716, ""))</f>
        <v>Подраздел: Уход за металлическим ограждением</v>
      </c>
      <c r="B4607" s="29"/>
      <c r="C4607" s="29"/>
      <c r="D4607" s="29"/>
      <c r="E4607" s="29"/>
      <c r="F4607" s="29"/>
      <c r="G4607" s="29"/>
      <c r="H4607" s="29"/>
      <c r="I4607" s="29"/>
      <c r="J4607" s="29"/>
      <c r="K4607" s="29"/>
      <c r="M4607"/>
      <c r="N4607"/>
      <c r="O4607"/>
      <c r="P4607"/>
      <c r="Q4607"/>
    </row>
    <row r="4608" spans="1:33" ht="28.5" x14ac:dyDescent="0.2">
      <c r="A4608" s="31">
        <v>569</v>
      </c>
      <c r="B4608" s="31" t="str">
        <f>[1]Source!F5720</f>
        <v>калькуляция</v>
      </c>
      <c r="C4608" s="31" t="str">
        <f>[1]Source!G5720</f>
        <v>Протирка перил металлического ограждения</v>
      </c>
      <c r="D4608" s="32" t="str">
        <f>[1]Source!H5720</f>
        <v>м.п.</v>
      </c>
      <c r="E4608" s="4">
        <f>[1]Source!I5720</f>
        <v>216</v>
      </c>
      <c r="F4608" s="33"/>
      <c r="G4608" s="34"/>
      <c r="H4608" s="4"/>
      <c r="I4608" s="4"/>
      <c r="J4608" s="33"/>
      <c r="K4608" s="33"/>
      <c r="M4608"/>
      <c r="N4608"/>
      <c r="O4608"/>
      <c r="P4608"/>
      <c r="Q4608"/>
      <c r="AB4608">
        <f>ROUND(([1]Source!BZ5720/100)*ROUND(([1]Source!AF5720*[1]Source!AV5720)*[1]Source!I5720, 2), 2)</f>
        <v>0</v>
      </c>
      <c r="AC4608">
        <f>[1]Source!X5720</f>
        <v>0</v>
      </c>
      <c r="AD4608">
        <f>ROUND(([1]Source!CA5720/100)*ROUND(([1]Source!AF5720*[1]Source!AV5720)*[1]Source!I5720, 2), 2)</f>
        <v>0</v>
      </c>
      <c r="AE4608">
        <f>[1]Source!Y5720</f>
        <v>0</v>
      </c>
      <c r="AF4608">
        <f>ROUND((175/100)*ROUND(([1]Source!AE5720*[1]Source!AV5720)*[1]Source!I5720, 2), 2)</f>
        <v>0</v>
      </c>
      <c r="AG4608">
        <f>ROUND((108/100)*ROUND([1]Source!CS5720*[1]Source!I5720, 2), 2)</f>
        <v>0</v>
      </c>
    </row>
    <row r="4609" spans="1:33" ht="14.25" x14ac:dyDescent="0.2">
      <c r="A4609" s="31"/>
      <c r="B4609" s="31"/>
      <c r="C4609" s="31" t="s">
        <v>34</v>
      </c>
      <c r="D4609" s="32"/>
      <c r="E4609" s="4"/>
      <c r="F4609" s="33">
        <f>[1]Source!AO5720</f>
        <v>3.66</v>
      </c>
      <c r="G4609" s="34" t="str">
        <f>[1]Source!DG5720</f>
        <v>)*1*398</v>
      </c>
      <c r="H4609" s="4">
        <f>[1]Source!AV5720</f>
        <v>1</v>
      </c>
      <c r="I4609" s="4">
        <f>IF([1]Source!BA5720&lt;&gt; 0, [1]Source!BA5720, 1)</f>
        <v>1</v>
      </c>
      <c r="J4609" s="33">
        <f>[1]Source!S5720</f>
        <v>314642.88</v>
      </c>
      <c r="K4609" s="33"/>
      <c r="M4609"/>
      <c r="N4609"/>
      <c r="O4609"/>
      <c r="P4609"/>
      <c r="Q4609"/>
    </row>
    <row r="4610" spans="1:33" ht="15" x14ac:dyDescent="0.25">
      <c r="A4610" s="35"/>
      <c r="B4610" s="35"/>
      <c r="C4610" s="35"/>
      <c r="D4610" s="35"/>
      <c r="E4610" s="35"/>
      <c r="F4610" s="35"/>
      <c r="G4610" s="35"/>
      <c r="H4610" s="35"/>
      <c r="I4610" s="36">
        <f>J4609</f>
        <v>314642.88</v>
      </c>
      <c r="J4610" s="36"/>
      <c r="K4610" s="37">
        <f>IF([1]Source!I5720&lt;&gt;0, ROUND(I4610/[1]Source!I5720, 2), 0)</f>
        <v>1456.68</v>
      </c>
      <c r="M4610"/>
      <c r="N4610"/>
      <c r="O4610"/>
      <c r="P4610"/>
      <c r="Q4610"/>
      <c r="AA4610" s="38">
        <f>I4610</f>
        <v>314642.88</v>
      </c>
    </row>
    <row r="4611" spans="1:33" x14ac:dyDescent="0.2">
      <c r="M4611"/>
      <c r="N4611"/>
      <c r="O4611"/>
      <c r="P4611"/>
      <c r="Q4611"/>
    </row>
    <row r="4612" spans="1:33" ht="15" x14ac:dyDescent="0.25">
      <c r="A4612" s="42" t="str">
        <f>CONCATENATE("Итого по подразделу: ",IF([1]Source!G5722&lt;&gt;"Новый подраздел", [1]Source!G5722, ""))</f>
        <v>Итого по подразделу: Уход за металлическим ограждением</v>
      </c>
      <c r="B4612" s="42"/>
      <c r="C4612" s="42"/>
      <c r="D4612" s="42"/>
      <c r="E4612" s="42"/>
      <c r="F4612" s="42"/>
      <c r="G4612" s="42"/>
      <c r="H4612" s="42"/>
      <c r="I4612" s="43">
        <f>SUM(AA4607:AA4611)</f>
        <v>314642.88</v>
      </c>
      <c r="J4612" s="44"/>
      <c r="K4612" s="47"/>
      <c r="L4612" s="38">
        <f>I4612</f>
        <v>314642.88</v>
      </c>
      <c r="M4612" s="2">
        <f>ROUND(I4612*$I$4874,2)</f>
        <v>227237.24</v>
      </c>
      <c r="N4612" s="2">
        <f>ROUND(M4612*1.2/105*100,2)</f>
        <v>259699.7</v>
      </c>
      <c r="O4612" s="2">
        <f>ROUND(N4612*0.05,2)</f>
        <v>12984.99</v>
      </c>
      <c r="P4612" s="2">
        <f>N4612+O4612</f>
        <v>272684.69</v>
      </c>
      <c r="Q4612" s="3">
        <v>48</v>
      </c>
      <c r="S4612" s="2">
        <v>0</v>
      </c>
    </row>
    <row r="4613" spans="1:33" x14ac:dyDescent="0.2">
      <c r="M4613"/>
      <c r="N4613"/>
      <c r="O4613"/>
      <c r="P4613"/>
      <c r="Q4613"/>
    </row>
    <row r="4614" spans="1:33" x14ac:dyDescent="0.2">
      <c r="M4614"/>
      <c r="N4614"/>
      <c r="O4614"/>
      <c r="P4614"/>
      <c r="Q4614"/>
    </row>
    <row r="4615" spans="1:33" ht="15" x14ac:dyDescent="0.25">
      <c r="A4615" s="42" t="str">
        <f>CONCATENATE("Итого по разделу: ",IF([1]Source!G5752&lt;&gt;"Новый раздел", [1]Source!G5752, ""))</f>
        <v>Итого по разделу: ул. Варварка</v>
      </c>
      <c r="B4615" s="42"/>
      <c r="C4615" s="42"/>
      <c r="D4615" s="42"/>
      <c r="E4615" s="42"/>
      <c r="F4615" s="42"/>
      <c r="G4615" s="42"/>
      <c r="H4615" s="42"/>
      <c r="I4615" s="43">
        <f>SUM(AA4510:AA4614)</f>
        <v>1723140.1600000001</v>
      </c>
      <c r="J4615" s="44"/>
      <c r="K4615" s="47"/>
      <c r="L4615" s="38">
        <f>I4615</f>
        <v>1723140.1600000001</v>
      </c>
      <c r="M4615" s="2">
        <f>M4545+M4557+M4578+M4604+M4612</f>
        <v>1244463.6200000001</v>
      </c>
      <c r="N4615" s="2">
        <f>N4545+N4557+N4578+N4604+N4612</f>
        <v>1422244.13</v>
      </c>
      <c r="O4615" s="2">
        <f>ROUND(N4615*0.05,2)</f>
        <v>71112.210000000006</v>
      </c>
      <c r="P4615" s="2">
        <f>SUM(P4545:P4612)</f>
        <v>1493356.33</v>
      </c>
      <c r="Q4615" s="48"/>
      <c r="R4615">
        <v>2</v>
      </c>
    </row>
    <row r="4616" spans="1:33" x14ac:dyDescent="0.2">
      <c r="M4616"/>
      <c r="N4616"/>
      <c r="O4616"/>
      <c r="P4616"/>
      <c r="Q4616"/>
    </row>
    <row r="4617" spans="1:33" x14ac:dyDescent="0.2">
      <c r="M4617"/>
      <c r="N4617"/>
      <c r="O4617"/>
      <c r="P4617"/>
      <c r="Q4617"/>
    </row>
    <row r="4618" spans="1:33" ht="16.5" x14ac:dyDescent="0.25">
      <c r="A4618" s="29" t="str">
        <f>CONCATENATE("Раздел: ",IF([1]Source!G5782&lt;&gt;"Новый раздел", [1]Source!G5782, ""))</f>
        <v>Раздел: Москворецкая набережная( уход за бортовыми камнями, уход за покрытиями пандусов)</v>
      </c>
      <c r="B4618" s="29"/>
      <c r="C4618" s="29"/>
      <c r="D4618" s="29"/>
      <c r="E4618" s="29"/>
      <c r="F4618" s="29"/>
      <c r="G4618" s="29"/>
      <c r="H4618" s="29"/>
      <c r="I4618" s="29"/>
      <c r="J4618" s="29"/>
      <c r="K4618" s="29"/>
      <c r="M4618"/>
      <c r="N4618"/>
      <c r="O4618"/>
      <c r="P4618"/>
      <c r="Q4618"/>
    </row>
    <row r="4619" spans="1:33" x14ac:dyDescent="0.2">
      <c r="M4619"/>
      <c r="N4619"/>
      <c r="O4619"/>
      <c r="P4619"/>
      <c r="Q4619"/>
    </row>
    <row r="4620" spans="1:33" ht="16.5" x14ac:dyDescent="0.25">
      <c r="A4620" s="29" t="str">
        <f>CONCATENATE("Подраздел: ",IF([1]Source!G5786&lt;&gt;"Новый подраздел", [1]Source!G5786, ""))</f>
        <v>Подраздел: Уход за бортовыми камнями</v>
      </c>
      <c r="B4620" s="29"/>
      <c r="C4620" s="29"/>
      <c r="D4620" s="29"/>
      <c r="E4620" s="29"/>
      <c r="F4620" s="29"/>
      <c r="G4620" s="29"/>
      <c r="H4620" s="29"/>
      <c r="I4620" s="29"/>
      <c r="J4620" s="29"/>
      <c r="K4620" s="29"/>
      <c r="M4620"/>
      <c r="N4620"/>
      <c r="O4620"/>
      <c r="P4620"/>
      <c r="Q4620"/>
    </row>
    <row r="4621" spans="1:33" ht="42.75" x14ac:dyDescent="0.2">
      <c r="A4621" s="31">
        <v>570</v>
      </c>
      <c r="B4621" s="31" t="str">
        <f>[1]Source!F5790</f>
        <v>5.3-1101-13-1/1</v>
      </c>
      <c r="C4621" s="31" t="str">
        <f>[1]Source!G5790</f>
        <v>Подметание вручную дорожек и площадок с твердым покрытием ( очистка бортовых камней )</v>
      </c>
      <c r="D4621" s="32" t="str">
        <f>[1]Source!H5790</f>
        <v>100 м2</v>
      </c>
      <c r="E4621" s="4">
        <f>[1]Source!I5790</f>
        <v>1.8551</v>
      </c>
      <c r="F4621" s="33"/>
      <c r="G4621" s="34"/>
      <c r="H4621" s="4"/>
      <c r="I4621" s="4"/>
      <c r="J4621" s="33"/>
      <c r="K4621" s="33"/>
      <c r="M4621"/>
      <c r="N4621"/>
      <c r="O4621"/>
      <c r="P4621"/>
      <c r="Q4621"/>
      <c r="AB4621">
        <f>ROUND(([1]Source!BZ5790/100)*ROUND(([1]Source!AF5790*[1]Source!AV5790)*[1]Source!I5790, 2), 2)</f>
        <v>35878.400000000001</v>
      </c>
      <c r="AC4621">
        <f>[1]Source!X5790</f>
        <v>35878.400000000001</v>
      </c>
      <c r="AD4621">
        <f>ROUND(([1]Source!CA5790/100)*ROUND(([1]Source!AF5790*[1]Source!AV5790)*[1]Source!I5790, 2), 2)</f>
        <v>5125.49</v>
      </c>
      <c r="AE4621">
        <f>[1]Source!Y5790</f>
        <v>5125.49</v>
      </c>
      <c r="AF4621">
        <f>ROUND((175/100)*ROUND(([1]Source!AE5790*[1]Source!AV5790)*[1]Source!I5790, 2), 2)</f>
        <v>0</v>
      </c>
      <c r="AG4621">
        <f>ROUND((108/100)*ROUND([1]Source!CS5790*[1]Source!I5790, 2), 2)</f>
        <v>0</v>
      </c>
    </row>
    <row r="4622" spans="1:33" x14ac:dyDescent="0.2">
      <c r="C4622" s="40" t="str">
        <f>"Объем: "&amp;[1]Source!I5790&amp;"=185,51/"&amp;"100"</f>
        <v>Объем: 1,8551=185,51/100</v>
      </c>
      <c r="M4622"/>
      <c r="N4622"/>
      <c r="O4622"/>
      <c r="P4622"/>
      <c r="Q4622"/>
    </row>
    <row r="4623" spans="1:33" ht="14.25" x14ac:dyDescent="0.2">
      <c r="A4623" s="31"/>
      <c r="B4623" s="31"/>
      <c r="C4623" s="31" t="s">
        <v>34</v>
      </c>
      <c r="D4623" s="32"/>
      <c r="E4623" s="4"/>
      <c r="F4623" s="33">
        <f>[1]Source!AO5790</f>
        <v>34.71</v>
      </c>
      <c r="G4623" s="34" t="str">
        <f>[1]Source!DG5790</f>
        <v>)*2*398</v>
      </c>
      <c r="H4623" s="4">
        <f>[1]Source!AV5790</f>
        <v>1</v>
      </c>
      <c r="I4623" s="4">
        <f>IF([1]Source!BA5790&lt;&gt; 0, [1]Source!BA5790, 1)</f>
        <v>1</v>
      </c>
      <c r="J4623" s="33">
        <f>[1]Source!S5790</f>
        <v>51254.85</v>
      </c>
      <c r="K4623" s="33"/>
      <c r="M4623"/>
      <c r="N4623"/>
      <c r="O4623"/>
      <c r="P4623"/>
      <c r="Q4623"/>
    </row>
    <row r="4624" spans="1:33" ht="14.25" x14ac:dyDescent="0.2">
      <c r="A4624" s="31"/>
      <c r="B4624" s="31"/>
      <c r="C4624" s="31" t="s">
        <v>40</v>
      </c>
      <c r="D4624" s="32" t="s">
        <v>39</v>
      </c>
      <c r="E4624" s="4">
        <f>[1]Source!AT5790</f>
        <v>70</v>
      </c>
      <c r="F4624" s="33"/>
      <c r="G4624" s="34"/>
      <c r="H4624" s="4"/>
      <c r="I4624" s="4"/>
      <c r="J4624" s="33">
        <f>SUM(AC4621:AC4623)</f>
        <v>35878.400000000001</v>
      </c>
      <c r="K4624" s="33"/>
      <c r="M4624"/>
      <c r="N4624"/>
      <c r="O4624"/>
      <c r="P4624"/>
      <c r="Q4624"/>
    </row>
    <row r="4625" spans="1:33" ht="14.25" x14ac:dyDescent="0.2">
      <c r="A4625" s="31"/>
      <c r="B4625" s="31"/>
      <c r="C4625" s="31" t="s">
        <v>41</v>
      </c>
      <c r="D4625" s="32" t="s">
        <v>39</v>
      </c>
      <c r="E4625" s="4">
        <f>[1]Source!AU5790</f>
        <v>10</v>
      </c>
      <c r="F4625" s="33"/>
      <c r="G4625" s="34"/>
      <c r="H4625" s="4"/>
      <c r="I4625" s="4"/>
      <c r="J4625" s="33">
        <f>SUM(AE4621:AE4624)</f>
        <v>5125.49</v>
      </c>
      <c r="K4625" s="33"/>
      <c r="M4625"/>
      <c r="N4625"/>
      <c r="O4625"/>
      <c r="P4625"/>
      <c r="Q4625"/>
    </row>
    <row r="4626" spans="1:33" ht="14.25" x14ac:dyDescent="0.2">
      <c r="A4626" s="31"/>
      <c r="B4626" s="31"/>
      <c r="C4626" s="31" t="s">
        <v>42</v>
      </c>
      <c r="D4626" s="32" t="s">
        <v>43</v>
      </c>
      <c r="E4626" s="4">
        <f>[1]Source!AQ5790</f>
        <v>0.14000000000000001</v>
      </c>
      <c r="F4626" s="33"/>
      <c r="G4626" s="34" t="str">
        <f>[1]Source!DI5790</f>
        <v>)*2*398</v>
      </c>
      <c r="H4626" s="4">
        <f>[1]Source!AV5790</f>
        <v>1</v>
      </c>
      <c r="I4626" s="4"/>
      <c r="J4626" s="33"/>
      <c r="K4626" s="33">
        <f>[1]Source!U5790</f>
        <v>206.73234400000001</v>
      </c>
      <c r="M4626"/>
      <c r="N4626"/>
      <c r="O4626"/>
      <c r="P4626"/>
      <c r="Q4626"/>
    </row>
    <row r="4627" spans="1:33" ht="15" x14ac:dyDescent="0.25">
      <c r="A4627" s="35"/>
      <c r="B4627" s="35"/>
      <c r="C4627" s="35"/>
      <c r="D4627" s="35"/>
      <c r="E4627" s="35"/>
      <c r="F4627" s="35"/>
      <c r="G4627" s="35"/>
      <c r="H4627" s="35"/>
      <c r="I4627" s="36">
        <f>J4623+J4624+J4625</f>
        <v>92258.74</v>
      </c>
      <c r="J4627" s="36"/>
      <c r="K4627" s="37">
        <f>IF([1]Source!I5790&lt;&gt;0, ROUND(I4627/[1]Source!I5790, 2), 0)</f>
        <v>49732.49</v>
      </c>
      <c r="M4627"/>
      <c r="N4627"/>
      <c r="O4627"/>
      <c r="P4627"/>
      <c r="Q4627"/>
      <c r="AA4627" s="38">
        <f>I4627</f>
        <v>92258.74</v>
      </c>
    </row>
    <row r="4628" spans="1:33" x14ac:dyDescent="0.2">
      <c r="M4628"/>
      <c r="N4628"/>
      <c r="O4628"/>
      <c r="P4628"/>
      <c r="Q4628"/>
    </row>
    <row r="4629" spans="1:33" ht="15" x14ac:dyDescent="0.25">
      <c r="A4629" s="42" t="str">
        <f>CONCATENATE("Итого по подразделу: ",IF([1]Source!G5792&lt;&gt;"Новый подраздел", [1]Source!G5792, ""))</f>
        <v>Итого по подразделу: Уход за бортовыми камнями</v>
      </c>
      <c r="B4629" s="42"/>
      <c r="C4629" s="42"/>
      <c r="D4629" s="42"/>
      <c r="E4629" s="42"/>
      <c r="F4629" s="42"/>
      <c r="G4629" s="42"/>
      <c r="H4629" s="42"/>
      <c r="I4629" s="43">
        <f>SUM(AA4620:AA4628)</f>
        <v>92258.74</v>
      </c>
      <c r="J4629" s="44"/>
      <c r="K4629" s="47"/>
      <c r="L4629" s="38">
        <f>I4629</f>
        <v>92258.74</v>
      </c>
      <c r="M4629" s="2">
        <f>ROUND(I4629*$I$4874,2)</f>
        <v>66629.89</v>
      </c>
      <c r="N4629" s="2">
        <f>ROUND(M4629*1.2/105*100,2)</f>
        <v>76148.45</v>
      </c>
      <c r="O4629" s="2">
        <f>ROUND(N4629*0.05,2)</f>
        <v>3807.42</v>
      </c>
      <c r="P4629" s="2">
        <f>N4629+O4629</f>
        <v>79955.87</v>
      </c>
      <c r="Q4629" s="3">
        <v>126</v>
      </c>
      <c r="S4629" s="2">
        <v>0</v>
      </c>
    </row>
    <row r="4630" spans="1:33" x14ac:dyDescent="0.2">
      <c r="M4630"/>
      <c r="N4630"/>
      <c r="O4630"/>
      <c r="P4630"/>
      <c r="Q4630"/>
    </row>
    <row r="4631" spans="1:33" x14ac:dyDescent="0.2">
      <c r="M4631"/>
      <c r="N4631"/>
      <c r="O4631"/>
      <c r="P4631"/>
      <c r="Q4631"/>
    </row>
    <row r="4632" spans="1:33" ht="16.5" x14ac:dyDescent="0.25">
      <c r="A4632" s="29" t="str">
        <f>CONCATENATE("Подраздел: ",IF([1]Source!G5822&lt;&gt;"Новый подраздел", [1]Source!G5822, ""))</f>
        <v>Подраздел: Содержание покрытий пандусов( S=31,34 м2)( 21 шт.)</v>
      </c>
      <c r="B4632" s="29"/>
      <c r="C4632" s="29"/>
      <c r="D4632" s="29"/>
      <c r="E4632" s="29"/>
      <c r="F4632" s="29"/>
      <c r="G4632" s="29"/>
      <c r="H4632" s="29"/>
      <c r="I4632" s="29"/>
      <c r="J4632" s="29"/>
      <c r="K4632" s="29"/>
      <c r="M4632"/>
      <c r="N4632"/>
      <c r="O4632"/>
      <c r="P4632"/>
      <c r="Q4632"/>
    </row>
    <row r="4633" spans="1:33" ht="28.5" x14ac:dyDescent="0.2">
      <c r="A4633" s="31">
        <v>571</v>
      </c>
      <c r="B4633" s="31" t="str">
        <f>[1]Source!F5826</f>
        <v>5.3-1101-13-1/1</v>
      </c>
      <c r="C4633" s="31" t="str">
        <f>[1]Source!G5826</f>
        <v>Подметание вручную дорожек и площадок с твердым покрытием</v>
      </c>
      <c r="D4633" s="32" t="str">
        <f>[1]Source!H5826</f>
        <v>100 м2</v>
      </c>
      <c r="E4633" s="4">
        <f>[1]Source!I5826</f>
        <v>0.31340000000000001</v>
      </c>
      <c r="F4633" s="33"/>
      <c r="G4633" s="34"/>
      <c r="H4633" s="4"/>
      <c r="I4633" s="4"/>
      <c r="J4633" s="33"/>
      <c r="K4633" s="33"/>
      <c r="M4633"/>
      <c r="N4633"/>
      <c r="O4633"/>
      <c r="P4633"/>
      <c r="Q4633"/>
      <c r="AB4633">
        <f>ROUND(([1]Source!BZ5826/100)*ROUND(([1]Source!AF5826*[1]Source!AV5826)*[1]Source!I5826, 2), 2)</f>
        <v>9091.93</v>
      </c>
      <c r="AC4633">
        <f>[1]Source!X5826</f>
        <v>9091.93</v>
      </c>
      <c r="AD4633">
        <f>ROUND(([1]Source!CA5826/100)*ROUND(([1]Source!AF5826*[1]Source!AV5826)*[1]Source!I5826, 2), 2)</f>
        <v>1298.8499999999999</v>
      </c>
      <c r="AE4633">
        <f>[1]Source!Y5826</f>
        <v>1298.8499999999999</v>
      </c>
      <c r="AF4633">
        <f>ROUND((175/100)*ROUND(([1]Source!AE5826*[1]Source!AV5826)*[1]Source!I5826, 2), 2)</f>
        <v>0</v>
      </c>
      <c r="AG4633">
        <f>ROUND((108/100)*ROUND([1]Source!CS5826*[1]Source!I5826, 2), 2)</f>
        <v>0</v>
      </c>
    </row>
    <row r="4634" spans="1:33" x14ac:dyDescent="0.2">
      <c r="C4634" s="40" t="str">
        <f>"Объем: "&amp;[1]Source!I5826&amp;"=31,34/"&amp;"100"</f>
        <v>Объем: 0,3134=31,34/100</v>
      </c>
      <c r="M4634"/>
      <c r="N4634"/>
      <c r="O4634"/>
      <c r="P4634"/>
      <c r="Q4634"/>
    </row>
    <row r="4635" spans="1:33" ht="14.25" x14ac:dyDescent="0.2">
      <c r="A4635" s="31"/>
      <c r="B4635" s="31"/>
      <c r="C4635" s="31" t="s">
        <v>34</v>
      </c>
      <c r="D4635" s="32"/>
      <c r="E4635" s="4"/>
      <c r="F4635" s="33">
        <f>[1]Source!AO5826</f>
        <v>34.71</v>
      </c>
      <c r="G4635" s="34" t="str">
        <f>[1]Source!DG5826</f>
        <v>)*3*398</v>
      </c>
      <c r="H4635" s="4">
        <f>[1]Source!AV5826</f>
        <v>1</v>
      </c>
      <c r="I4635" s="4">
        <f>IF([1]Source!BA5826&lt;&gt; 0, [1]Source!BA5826, 1)</f>
        <v>1</v>
      </c>
      <c r="J4635" s="33">
        <f>[1]Source!S5826</f>
        <v>12988.47</v>
      </c>
      <c r="K4635" s="33"/>
      <c r="M4635"/>
      <c r="N4635"/>
      <c r="O4635"/>
      <c r="P4635"/>
      <c r="Q4635"/>
    </row>
    <row r="4636" spans="1:33" ht="14.25" x14ac:dyDescent="0.2">
      <c r="A4636" s="31"/>
      <c r="B4636" s="31"/>
      <c r="C4636" s="31" t="s">
        <v>40</v>
      </c>
      <c r="D4636" s="32" t="s">
        <v>39</v>
      </c>
      <c r="E4636" s="4">
        <f>[1]Source!AT5826</f>
        <v>70</v>
      </c>
      <c r="F4636" s="33"/>
      <c r="G4636" s="34"/>
      <c r="H4636" s="4"/>
      <c r="I4636" s="4"/>
      <c r="J4636" s="33">
        <f>SUM(AC4633:AC4635)</f>
        <v>9091.93</v>
      </c>
      <c r="K4636" s="33"/>
      <c r="M4636"/>
      <c r="N4636"/>
      <c r="O4636"/>
      <c r="P4636"/>
      <c r="Q4636"/>
    </row>
    <row r="4637" spans="1:33" ht="14.25" x14ac:dyDescent="0.2">
      <c r="A4637" s="31"/>
      <c r="B4637" s="31"/>
      <c r="C4637" s="31" t="s">
        <v>41</v>
      </c>
      <c r="D4637" s="32" t="s">
        <v>39</v>
      </c>
      <c r="E4637" s="4">
        <f>[1]Source!AU5826</f>
        <v>10</v>
      </c>
      <c r="F4637" s="33"/>
      <c r="G4637" s="34"/>
      <c r="H4637" s="4"/>
      <c r="I4637" s="4"/>
      <c r="J4637" s="33">
        <f>SUM(AE4633:AE4636)</f>
        <v>1298.8499999999999</v>
      </c>
      <c r="K4637" s="33"/>
      <c r="M4637"/>
      <c r="N4637"/>
      <c r="O4637"/>
      <c r="P4637"/>
      <c r="Q4637"/>
    </row>
    <row r="4638" spans="1:33" ht="14.25" x14ac:dyDescent="0.2">
      <c r="A4638" s="31"/>
      <c r="B4638" s="31"/>
      <c r="C4638" s="31" t="s">
        <v>42</v>
      </c>
      <c r="D4638" s="32" t="s">
        <v>43</v>
      </c>
      <c r="E4638" s="4">
        <f>[1]Source!AQ5826</f>
        <v>0.14000000000000001</v>
      </c>
      <c r="F4638" s="33"/>
      <c r="G4638" s="34" t="str">
        <f>[1]Source!DI5826</f>
        <v>)*3*398</v>
      </c>
      <c r="H4638" s="4">
        <f>[1]Source!AV5826</f>
        <v>1</v>
      </c>
      <c r="I4638" s="4"/>
      <c r="J4638" s="33"/>
      <c r="K4638" s="33">
        <f>[1]Source!U5826</f>
        <v>52.387944000000012</v>
      </c>
      <c r="M4638"/>
      <c r="N4638"/>
      <c r="O4638"/>
      <c r="P4638"/>
      <c r="Q4638"/>
    </row>
    <row r="4639" spans="1:33" ht="15" x14ac:dyDescent="0.25">
      <c r="A4639" s="35"/>
      <c r="B4639" s="35"/>
      <c r="C4639" s="35"/>
      <c r="D4639" s="35"/>
      <c r="E4639" s="35"/>
      <c r="F4639" s="35"/>
      <c r="G4639" s="35"/>
      <c r="H4639" s="35"/>
      <c r="I4639" s="36">
        <f>J4635+J4636+J4637</f>
        <v>23379.25</v>
      </c>
      <c r="J4639" s="36"/>
      <c r="K4639" s="37">
        <f>IF([1]Source!I5826&lt;&gt;0, ROUND(I4639/[1]Source!I5826, 2), 0)</f>
        <v>74598.759999999995</v>
      </c>
      <c r="M4639"/>
      <c r="N4639"/>
      <c r="O4639"/>
      <c r="P4639"/>
      <c r="Q4639"/>
      <c r="AA4639" s="38">
        <f>I4639</f>
        <v>23379.25</v>
      </c>
    </row>
    <row r="4640" spans="1:33" ht="57" x14ac:dyDescent="0.2">
      <c r="A4640" s="31">
        <v>572</v>
      </c>
      <c r="B4640" s="31" t="str">
        <f>[1]Source!F5827</f>
        <v>5.3-1101-13-1/1</v>
      </c>
      <c r="C4640" s="31" t="str">
        <f>[1]Source!G5827</f>
        <v>Подметание вручную дорожек и площадок с твердым покрытием (  дополнительное подметание покрытий в осенний период)</v>
      </c>
      <c r="D4640" s="32" t="str">
        <f>[1]Source!H5827</f>
        <v>100 м2</v>
      </c>
      <c r="E4640" s="4">
        <f>[1]Source!I5827</f>
        <v>0.31340000000000001</v>
      </c>
      <c r="F4640" s="33"/>
      <c r="G4640" s="34"/>
      <c r="H4640" s="4"/>
      <c r="I4640" s="4"/>
      <c r="J4640" s="33"/>
      <c r="K4640" s="33"/>
      <c r="M4640"/>
      <c r="N4640"/>
      <c r="O4640"/>
      <c r="P4640"/>
      <c r="Q4640"/>
      <c r="AB4640">
        <f>ROUND(([1]Source!BZ5827/100)*ROUND(([1]Source!AF5827*[1]Source!AV5827)*[1]Source!I5827, 2), 2)</f>
        <v>456.88</v>
      </c>
      <c r="AC4640">
        <f>[1]Source!X5827</f>
        <v>456.88</v>
      </c>
      <c r="AD4640">
        <f>ROUND(([1]Source!CA5827/100)*ROUND(([1]Source!AF5827*[1]Source!AV5827)*[1]Source!I5827, 2), 2)</f>
        <v>65.27</v>
      </c>
      <c r="AE4640">
        <f>[1]Source!Y5827</f>
        <v>65.27</v>
      </c>
      <c r="AF4640">
        <f>ROUND((175/100)*ROUND(([1]Source!AE5827*[1]Source!AV5827)*[1]Source!I5827, 2), 2)</f>
        <v>0</v>
      </c>
      <c r="AG4640">
        <f>ROUND((108/100)*ROUND([1]Source!CS5827*[1]Source!I5827, 2), 2)</f>
        <v>0</v>
      </c>
    </row>
    <row r="4641" spans="1:33" x14ac:dyDescent="0.2">
      <c r="C4641" s="40" t="str">
        <f>"Объем: "&amp;[1]Source!I5827&amp;"=31,34/"&amp;"100"</f>
        <v>Объем: 0,3134=31,34/100</v>
      </c>
      <c r="M4641"/>
      <c r="N4641"/>
      <c r="O4641"/>
      <c r="P4641"/>
      <c r="Q4641"/>
    </row>
    <row r="4642" spans="1:33" ht="14.25" x14ac:dyDescent="0.2">
      <c r="A4642" s="31"/>
      <c r="B4642" s="31"/>
      <c r="C4642" s="31" t="s">
        <v>34</v>
      </c>
      <c r="D4642" s="32"/>
      <c r="E4642" s="4"/>
      <c r="F4642" s="33">
        <f>[1]Source!AO5827</f>
        <v>34.71</v>
      </c>
      <c r="G4642" s="34" t="str">
        <f>[1]Source!DG5827</f>
        <v>)*1*60</v>
      </c>
      <c r="H4642" s="4">
        <f>[1]Source!AV5827</f>
        <v>1</v>
      </c>
      <c r="I4642" s="4">
        <f>IF([1]Source!BA5827&lt;&gt; 0, [1]Source!BA5827, 1)</f>
        <v>1</v>
      </c>
      <c r="J4642" s="33">
        <f>[1]Source!S5827</f>
        <v>652.69000000000005</v>
      </c>
      <c r="K4642" s="33"/>
      <c r="M4642"/>
      <c r="N4642"/>
      <c r="O4642"/>
      <c r="P4642"/>
      <c r="Q4642"/>
    </row>
    <row r="4643" spans="1:33" ht="14.25" x14ac:dyDescent="0.2">
      <c r="A4643" s="31"/>
      <c r="B4643" s="31"/>
      <c r="C4643" s="31" t="s">
        <v>40</v>
      </c>
      <c r="D4643" s="32" t="s">
        <v>39</v>
      </c>
      <c r="E4643" s="4">
        <f>[1]Source!AT5827</f>
        <v>70</v>
      </c>
      <c r="F4643" s="33"/>
      <c r="G4643" s="34"/>
      <c r="H4643" s="4"/>
      <c r="I4643" s="4"/>
      <c r="J4643" s="33">
        <f>SUM(AC4640:AC4642)</f>
        <v>456.88</v>
      </c>
      <c r="K4643" s="33"/>
      <c r="M4643"/>
      <c r="N4643"/>
      <c r="O4643"/>
      <c r="P4643"/>
      <c r="Q4643"/>
    </row>
    <row r="4644" spans="1:33" ht="14.25" x14ac:dyDescent="0.2">
      <c r="A4644" s="31"/>
      <c r="B4644" s="31"/>
      <c r="C4644" s="31" t="s">
        <v>41</v>
      </c>
      <c r="D4644" s="32" t="s">
        <v>39</v>
      </c>
      <c r="E4644" s="4">
        <f>[1]Source!AU5827</f>
        <v>10</v>
      </c>
      <c r="F4644" s="33"/>
      <c r="G4644" s="34"/>
      <c r="H4644" s="4"/>
      <c r="I4644" s="4"/>
      <c r="J4644" s="33">
        <f>SUM(AE4640:AE4643)</f>
        <v>65.27</v>
      </c>
      <c r="K4644" s="33"/>
      <c r="M4644"/>
      <c r="N4644"/>
      <c r="O4644"/>
      <c r="P4644"/>
      <c r="Q4644"/>
    </row>
    <row r="4645" spans="1:33" ht="14.25" x14ac:dyDescent="0.2">
      <c r="A4645" s="31"/>
      <c r="B4645" s="31"/>
      <c r="C4645" s="31" t="s">
        <v>42</v>
      </c>
      <c r="D4645" s="32" t="s">
        <v>43</v>
      </c>
      <c r="E4645" s="4">
        <f>[1]Source!AQ5827</f>
        <v>0.14000000000000001</v>
      </c>
      <c r="F4645" s="33"/>
      <c r="G4645" s="34" t="str">
        <f>[1]Source!DI5827</f>
        <v>)*1*60</v>
      </c>
      <c r="H4645" s="4">
        <f>[1]Source!AV5827</f>
        <v>1</v>
      </c>
      <c r="I4645" s="4"/>
      <c r="J4645" s="33"/>
      <c r="K4645" s="33">
        <f>[1]Source!U5827</f>
        <v>2.6325600000000002</v>
      </c>
      <c r="M4645"/>
      <c r="N4645"/>
      <c r="O4645"/>
      <c r="P4645"/>
      <c r="Q4645"/>
    </row>
    <row r="4646" spans="1:33" ht="15" x14ac:dyDescent="0.25">
      <c r="A4646" s="35"/>
      <c r="B4646" s="35"/>
      <c r="C4646" s="35"/>
      <c r="D4646" s="35"/>
      <c r="E4646" s="35"/>
      <c r="F4646" s="35"/>
      <c r="G4646" s="35"/>
      <c r="H4646" s="35"/>
      <c r="I4646" s="36">
        <f>J4642+J4643+J4644</f>
        <v>1174.8400000000001</v>
      </c>
      <c r="J4646" s="36"/>
      <c r="K4646" s="37">
        <f>IF([1]Source!I5827&lt;&gt;0, ROUND(I4646/[1]Source!I5827, 2), 0)</f>
        <v>3748.69</v>
      </c>
      <c r="M4646"/>
      <c r="N4646"/>
      <c r="O4646"/>
      <c r="P4646"/>
      <c r="Q4646"/>
      <c r="AA4646" s="38">
        <f>I4646</f>
        <v>1174.8400000000001</v>
      </c>
    </row>
    <row r="4647" spans="1:33" ht="14.25" x14ac:dyDescent="0.2">
      <c r="A4647" s="31">
        <v>573</v>
      </c>
      <c r="B4647" s="31" t="str">
        <f>[1]Source!F5828</f>
        <v>5.3-1101-14-1/1</v>
      </c>
      <c r="C4647" s="31" t="str">
        <f>[1]Source!G5828</f>
        <v>Полив дорожек из шланга вручную</v>
      </c>
      <c r="D4647" s="32" t="str">
        <f>[1]Source!H5828</f>
        <v>100 м2</v>
      </c>
      <c r="E4647" s="4">
        <f>[1]Source!I5828</f>
        <v>0.31340000000000001</v>
      </c>
      <c r="F4647" s="33"/>
      <c r="G4647" s="34"/>
      <c r="H4647" s="4"/>
      <c r="I4647" s="4"/>
      <c r="J4647" s="33"/>
      <c r="K4647" s="33"/>
      <c r="M4647"/>
      <c r="N4647"/>
      <c r="O4647"/>
      <c r="P4647"/>
      <c r="Q4647"/>
      <c r="AB4647">
        <f>ROUND(([1]Source!BZ5828/100)*ROUND(([1]Source!AF5828*[1]Source!AV5828)*[1]Source!I5828, 2), 2)</f>
        <v>1272.71</v>
      </c>
      <c r="AC4647">
        <f>[1]Source!X5828</f>
        <v>1272.71</v>
      </c>
      <c r="AD4647">
        <f>ROUND(([1]Source!CA5828/100)*ROUND(([1]Source!AF5828*[1]Source!AV5828)*[1]Source!I5828, 2), 2)</f>
        <v>181.82</v>
      </c>
      <c r="AE4647">
        <f>[1]Source!Y5828</f>
        <v>181.82</v>
      </c>
      <c r="AF4647">
        <f>ROUND((175/100)*ROUND(([1]Source!AE5828*[1]Source!AV5828)*[1]Source!I5828, 2), 2)</f>
        <v>0</v>
      </c>
      <c r="AG4647">
        <f>ROUND((108/100)*ROUND([1]Source!CS5828*[1]Source!I5828, 2), 2)</f>
        <v>0</v>
      </c>
    </row>
    <row r="4648" spans="1:33" x14ac:dyDescent="0.2">
      <c r="C4648" s="40" t="str">
        <f>"Объем: "&amp;[1]Source!I5828&amp;"=31,34/"&amp;"100"</f>
        <v>Объем: 0,3134=31,34/100</v>
      </c>
      <c r="M4648"/>
      <c r="N4648"/>
      <c r="O4648"/>
      <c r="P4648"/>
      <c r="Q4648"/>
    </row>
    <row r="4649" spans="1:33" ht="14.25" x14ac:dyDescent="0.2">
      <c r="A4649" s="31"/>
      <c r="B4649" s="31"/>
      <c r="C4649" s="31" t="s">
        <v>34</v>
      </c>
      <c r="D4649" s="32"/>
      <c r="E4649" s="4"/>
      <c r="F4649" s="33">
        <f>[1]Source!AO5828</f>
        <v>32.229999999999997</v>
      </c>
      <c r="G4649" s="34" t="str">
        <f>[1]Source!DG5828</f>
        <v>)*2*90</v>
      </c>
      <c r="H4649" s="4">
        <f>[1]Source!AV5828</f>
        <v>1</v>
      </c>
      <c r="I4649" s="4">
        <f>IF([1]Source!BA5828&lt;&gt; 0, [1]Source!BA5828, 1)</f>
        <v>1</v>
      </c>
      <c r="J4649" s="33">
        <f>[1]Source!S5828</f>
        <v>1818.16</v>
      </c>
      <c r="K4649" s="33"/>
      <c r="M4649"/>
      <c r="N4649"/>
      <c r="O4649"/>
      <c r="P4649"/>
      <c r="Q4649"/>
    </row>
    <row r="4650" spans="1:33" ht="14.25" x14ac:dyDescent="0.2">
      <c r="A4650" s="31"/>
      <c r="B4650" s="31"/>
      <c r="C4650" s="31" t="s">
        <v>47</v>
      </c>
      <c r="D4650" s="32"/>
      <c r="E4650" s="4"/>
      <c r="F4650" s="33">
        <f>[1]Source!AL5828</f>
        <v>4.24</v>
      </c>
      <c r="G4650" s="34" t="str">
        <f>[1]Source!DD5828</f>
        <v>)*2*90</v>
      </c>
      <c r="H4650" s="4">
        <f>[1]Source!AW5828</f>
        <v>1</v>
      </c>
      <c r="I4650" s="4">
        <f>IF([1]Source!BC5828&lt;&gt; 0, [1]Source!BC5828, 1)</f>
        <v>1</v>
      </c>
      <c r="J4650" s="33">
        <f>[1]Source!P5828</f>
        <v>239.19</v>
      </c>
      <c r="K4650" s="33"/>
      <c r="M4650"/>
      <c r="N4650"/>
      <c r="O4650"/>
      <c r="P4650"/>
      <c r="Q4650"/>
    </row>
    <row r="4651" spans="1:33" ht="14.25" x14ac:dyDescent="0.2">
      <c r="A4651" s="31" t="s">
        <v>203</v>
      </c>
      <c r="B4651" s="31" t="str">
        <f>[1]Source!F5829</f>
        <v>21.1-25-13</v>
      </c>
      <c r="C4651" s="31" t="str">
        <f>[1]Source!G5829</f>
        <v>Вода</v>
      </c>
      <c r="D4651" s="32" t="str">
        <f>[1]Source!H5829</f>
        <v>м3</v>
      </c>
      <c r="E4651" s="4">
        <f>[1]Source!I5829</f>
        <v>-5.6412000000000004</v>
      </c>
      <c r="F4651" s="33">
        <f>[1]Source!AK5829</f>
        <v>42.44</v>
      </c>
      <c r="G4651" s="39" t="s">
        <v>104</v>
      </c>
      <c r="H4651" s="4">
        <f>[1]Source!AW5829</f>
        <v>1</v>
      </c>
      <c r="I4651" s="4">
        <f>IF([1]Source!BC5829&lt;&gt; 0, [1]Source!BC5829, 1)</f>
        <v>1</v>
      </c>
      <c r="J4651" s="33">
        <f>[1]Source!O5829</f>
        <v>-239.41</v>
      </c>
      <c r="K4651" s="33"/>
      <c r="M4651"/>
      <c r="N4651"/>
      <c r="O4651"/>
      <c r="P4651"/>
      <c r="Q4651"/>
      <c r="AB4651">
        <f>ROUND(([1]Source!BZ5829/100)*ROUND(([1]Source!AF5829*[1]Source!AV5829)*[1]Source!I5829, 2), 2)</f>
        <v>0</v>
      </c>
      <c r="AC4651">
        <f>[1]Source!X5829</f>
        <v>0</v>
      </c>
      <c r="AD4651">
        <f>ROUND(([1]Source!CA5829/100)*ROUND(([1]Source!AF5829*[1]Source!AV5829)*[1]Source!I5829, 2), 2)</f>
        <v>0</v>
      </c>
      <c r="AE4651">
        <f>[1]Source!Y5829</f>
        <v>0</v>
      </c>
      <c r="AF4651">
        <f>ROUND((175/100)*ROUND(([1]Source!AE5829*[1]Source!AV5829)*[1]Source!I5829, 2), 2)</f>
        <v>0</v>
      </c>
      <c r="AG4651">
        <f>ROUND((108/100)*ROUND([1]Source!CS5829*[1]Source!I5829, 2), 2)</f>
        <v>0</v>
      </c>
    </row>
    <row r="4652" spans="1:33" ht="14.25" x14ac:dyDescent="0.2">
      <c r="A4652" s="31"/>
      <c r="B4652" s="31"/>
      <c r="C4652" s="31" t="s">
        <v>40</v>
      </c>
      <c r="D4652" s="32" t="s">
        <v>39</v>
      </c>
      <c r="E4652" s="4">
        <f>[1]Source!AT5828</f>
        <v>70</v>
      </c>
      <c r="F4652" s="33"/>
      <c r="G4652" s="34"/>
      <c r="H4652" s="4"/>
      <c r="I4652" s="4"/>
      <c r="J4652" s="33">
        <f>SUM(AC4647:AC4651)</f>
        <v>1272.71</v>
      </c>
      <c r="K4652" s="33"/>
      <c r="M4652"/>
      <c r="N4652"/>
      <c r="O4652"/>
      <c r="P4652"/>
      <c r="Q4652"/>
    </row>
    <row r="4653" spans="1:33" ht="14.25" x14ac:dyDescent="0.2">
      <c r="A4653" s="31"/>
      <c r="B4653" s="31"/>
      <c r="C4653" s="31" t="s">
        <v>41</v>
      </c>
      <c r="D4653" s="32" t="s">
        <v>39</v>
      </c>
      <c r="E4653" s="4">
        <f>[1]Source!AU5828</f>
        <v>10</v>
      </c>
      <c r="F4653" s="33"/>
      <c r="G4653" s="34"/>
      <c r="H4653" s="4"/>
      <c r="I4653" s="4"/>
      <c r="J4653" s="33">
        <f>SUM(AE4647:AE4652)</f>
        <v>181.82</v>
      </c>
      <c r="K4653" s="33"/>
      <c r="M4653"/>
      <c r="N4653"/>
      <c r="O4653"/>
      <c r="P4653"/>
      <c r="Q4653"/>
    </row>
    <row r="4654" spans="1:33" ht="14.25" x14ac:dyDescent="0.2">
      <c r="A4654" s="31"/>
      <c r="B4654" s="31"/>
      <c r="C4654" s="31" t="s">
        <v>42</v>
      </c>
      <c r="D4654" s="32" t="s">
        <v>43</v>
      </c>
      <c r="E4654" s="4">
        <f>[1]Source!AQ5828</f>
        <v>0.13</v>
      </c>
      <c r="F4654" s="33"/>
      <c r="G4654" s="34" t="str">
        <f>[1]Source!DI5828</f>
        <v>)*2*90</v>
      </c>
      <c r="H4654" s="4">
        <f>[1]Source!AV5828</f>
        <v>1</v>
      </c>
      <c r="I4654" s="4"/>
      <c r="J4654" s="33"/>
      <c r="K4654" s="33">
        <f>[1]Source!U5828</f>
        <v>7.3335600000000012</v>
      </c>
      <c r="M4654"/>
      <c r="N4654"/>
      <c r="O4654"/>
      <c r="P4654"/>
      <c r="Q4654"/>
    </row>
    <row r="4655" spans="1:33" ht="15" x14ac:dyDescent="0.25">
      <c r="A4655" s="35"/>
      <c r="B4655" s="35"/>
      <c r="C4655" s="35"/>
      <c r="D4655" s="35"/>
      <c r="E4655" s="35"/>
      <c r="F4655" s="35"/>
      <c r="G4655" s="35"/>
      <c r="H4655" s="35"/>
      <c r="I4655" s="36">
        <f>J4649+J4650+J4652+J4653+SUM(J4651:J4651)</f>
        <v>3272.4700000000003</v>
      </c>
      <c r="J4655" s="36"/>
      <c r="K4655" s="37">
        <f>IF([1]Source!I5828&lt;&gt;0, ROUND(I4655/[1]Source!I5828, 2), 0)</f>
        <v>10441.83</v>
      </c>
      <c r="M4655"/>
      <c r="N4655"/>
      <c r="O4655"/>
      <c r="P4655"/>
      <c r="Q4655"/>
      <c r="AA4655" s="38">
        <f>I4655</f>
        <v>3272.4700000000003</v>
      </c>
    </row>
    <row r="4656" spans="1:33" x14ac:dyDescent="0.2">
      <c r="M4656"/>
      <c r="N4656"/>
      <c r="O4656"/>
      <c r="P4656"/>
      <c r="Q4656"/>
    </row>
    <row r="4657" spans="1:43" ht="15" x14ac:dyDescent="0.25">
      <c r="A4657" s="42" t="str">
        <f>CONCATENATE("Итого по подразделу: ",IF([1]Source!G5831&lt;&gt;"Новый подраздел", [1]Source!G5831, ""))</f>
        <v>Итого по подразделу: Содержание покрытий пандусов( S=31,34 м2)( 21 шт.)</v>
      </c>
      <c r="B4657" s="42"/>
      <c r="C4657" s="42"/>
      <c r="D4657" s="42"/>
      <c r="E4657" s="42"/>
      <c r="F4657" s="42"/>
      <c r="G4657" s="42"/>
      <c r="H4657" s="42"/>
      <c r="I4657" s="43">
        <f>SUM(AA4632:AA4656)</f>
        <v>27826.560000000001</v>
      </c>
      <c r="J4657" s="44"/>
      <c r="K4657" s="47"/>
      <c r="L4657" s="38">
        <f>I4657</f>
        <v>27826.560000000001</v>
      </c>
      <c r="M4657" s="2">
        <f>ROUND(I4657*$I$4874,2)</f>
        <v>20096.53</v>
      </c>
      <c r="N4657" s="2">
        <f>ROUND(M4657*1.2/105*100,2)</f>
        <v>22967.46</v>
      </c>
      <c r="O4657" s="2">
        <f>ROUND(N4657*0.05,2)</f>
        <v>1148.3699999999999</v>
      </c>
      <c r="P4657" s="2">
        <f>N4657+O4657</f>
        <v>24115.829999999998</v>
      </c>
      <c r="Q4657" s="3">
        <v>125</v>
      </c>
      <c r="S4657" s="2">
        <v>0</v>
      </c>
    </row>
    <row r="4658" spans="1:43" x14ac:dyDescent="0.2">
      <c r="M4658"/>
      <c r="N4658"/>
      <c r="O4658"/>
      <c r="P4658"/>
      <c r="Q4658"/>
    </row>
    <row r="4659" spans="1:43" x14ac:dyDescent="0.2">
      <c r="M4659"/>
      <c r="N4659"/>
      <c r="O4659"/>
      <c r="P4659"/>
      <c r="Q4659"/>
    </row>
    <row r="4660" spans="1:43" ht="30" x14ac:dyDescent="0.25">
      <c r="A4660" s="42" t="str">
        <f>CONCATENATE("Итого по разделу: ",IF([1]Source!G5861&lt;&gt;"Новый раздел", [1]Source!G5861, ""))</f>
        <v>Итого по разделу: Москворецкая набережная( уход за бортовыми камнями, уход за покрытиями пандусов)</v>
      </c>
      <c r="B4660" s="42"/>
      <c r="C4660" s="42"/>
      <c r="D4660" s="42"/>
      <c r="E4660" s="42"/>
      <c r="F4660" s="42"/>
      <c r="G4660" s="42"/>
      <c r="H4660" s="42"/>
      <c r="I4660" s="43">
        <f>SUM(AA4618:AA4659)</f>
        <v>120085.3</v>
      </c>
      <c r="J4660" s="44"/>
      <c r="K4660" s="47"/>
      <c r="L4660" s="38">
        <f>I4660</f>
        <v>120085.3</v>
      </c>
      <c r="M4660" s="2">
        <f>M4629+M4657</f>
        <v>86726.42</v>
      </c>
      <c r="N4660" s="2">
        <f>N4629+N4657</f>
        <v>99115.91</v>
      </c>
      <c r="O4660" s="2">
        <f>ROUND(N4660*0.05,2)</f>
        <v>4955.8</v>
      </c>
      <c r="P4660" s="2">
        <f>SUM(P4629:P4657)</f>
        <v>104071.7</v>
      </c>
      <c r="Q4660" s="48"/>
      <c r="R4660">
        <v>2</v>
      </c>
      <c r="AQ4660" s="46" t="str">
        <f>CONCATENATE("Итого по разделу: ",IF([1]Source!G5861&lt;&gt;"Новый раздел", [1]Source!G5861, ""))</f>
        <v>Итого по разделу: Москворецкая набережная( уход за бортовыми камнями, уход за покрытиями пандусов)</v>
      </c>
    </row>
    <row r="4661" spans="1:43" x14ac:dyDescent="0.2">
      <c r="M4661"/>
      <c r="N4661"/>
      <c r="O4661"/>
      <c r="P4661"/>
      <c r="Q4661"/>
    </row>
    <row r="4662" spans="1:43" x14ac:dyDescent="0.2">
      <c r="M4662"/>
      <c r="N4662"/>
      <c r="O4662"/>
      <c r="P4662"/>
      <c r="Q4662"/>
    </row>
    <row r="4663" spans="1:43" ht="16.5" x14ac:dyDescent="0.25">
      <c r="A4663" s="29" t="str">
        <f>CONCATENATE("Раздел: ",IF([1]Source!G5891&lt;&gt;"Новый раздел", [1]Source!G5891, ""))</f>
        <v>Раздел: "Патриаршее подворье"</v>
      </c>
      <c r="B4663" s="29"/>
      <c r="C4663" s="29"/>
      <c r="D4663" s="29"/>
      <c r="E4663" s="29"/>
      <c r="F4663" s="29"/>
      <c r="G4663" s="29"/>
      <c r="H4663" s="29"/>
      <c r="I4663" s="29"/>
      <c r="J4663" s="29"/>
      <c r="K4663" s="29"/>
      <c r="M4663"/>
      <c r="N4663"/>
      <c r="O4663"/>
      <c r="P4663"/>
      <c r="Q4663"/>
    </row>
    <row r="4664" spans="1:43" x14ac:dyDescent="0.2">
      <c r="M4664"/>
      <c r="N4664"/>
      <c r="O4664"/>
      <c r="P4664"/>
      <c r="Q4664"/>
    </row>
    <row r="4665" spans="1:43" ht="16.5" x14ac:dyDescent="0.25">
      <c r="A4665" s="29" t="str">
        <f>CONCATENATE("Подраздел: ",IF([1]Source!G5895&lt;&gt;"Новый подраздел", [1]Source!G5895, ""))</f>
        <v>Подраздел: Уход за лестницами</v>
      </c>
      <c r="B4665" s="29"/>
      <c r="C4665" s="29"/>
      <c r="D4665" s="29"/>
      <c r="E4665" s="29"/>
      <c r="F4665" s="29"/>
      <c r="G4665" s="29"/>
      <c r="H4665" s="29"/>
      <c r="I4665" s="29"/>
      <c r="J4665" s="29"/>
      <c r="K4665" s="29"/>
      <c r="M4665"/>
      <c r="N4665"/>
      <c r="O4665"/>
      <c r="P4665"/>
      <c r="Q4665"/>
    </row>
    <row r="4666" spans="1:43" ht="28.5" x14ac:dyDescent="0.2">
      <c r="A4666" s="31">
        <v>574</v>
      </c>
      <c r="B4666" s="31" t="str">
        <f>[1]Source!F5899</f>
        <v>5.3-1101-13-1/1</v>
      </c>
      <c r="C4666" s="31" t="str">
        <f>[1]Source!G5899</f>
        <v>Подметание вручную дорожек и площадок с твердым покрытием</v>
      </c>
      <c r="D4666" s="32" t="str">
        <f>[1]Source!H5899</f>
        <v>100 м2</v>
      </c>
      <c r="E4666" s="4">
        <f>[1]Source!I5899</f>
        <v>0.88700000000000001</v>
      </c>
      <c r="F4666" s="33"/>
      <c r="G4666" s="34"/>
      <c r="H4666" s="4"/>
      <c r="I4666" s="4"/>
      <c r="J4666" s="33"/>
      <c r="K4666" s="33"/>
      <c r="M4666"/>
      <c r="N4666"/>
      <c r="O4666"/>
      <c r="P4666"/>
      <c r="Q4666"/>
      <c r="AB4666">
        <f>ROUND(([1]Source!BZ5899/100)*ROUND(([1]Source!AF5899*[1]Source!AV5899)*[1]Source!I5899, 2), 2)</f>
        <v>17154.939999999999</v>
      </c>
      <c r="AC4666">
        <f>[1]Source!X5899</f>
        <v>17154.939999999999</v>
      </c>
      <c r="AD4666">
        <f>ROUND(([1]Source!CA5899/100)*ROUND(([1]Source!AF5899*[1]Source!AV5899)*[1]Source!I5899, 2), 2)</f>
        <v>2450.71</v>
      </c>
      <c r="AE4666">
        <f>[1]Source!Y5899</f>
        <v>2450.71</v>
      </c>
      <c r="AF4666">
        <f>ROUND((175/100)*ROUND(([1]Source!AE5899*[1]Source!AV5899)*[1]Source!I5899, 2), 2)</f>
        <v>0</v>
      </c>
      <c r="AG4666">
        <f>ROUND((108/100)*ROUND([1]Source!CS5899*[1]Source!I5899, 2), 2)</f>
        <v>0</v>
      </c>
    </row>
    <row r="4667" spans="1:43" x14ac:dyDescent="0.2">
      <c r="C4667" s="40" t="str">
        <f>"Объем: "&amp;[1]Source!I5899&amp;"=88,7/"&amp;"100"</f>
        <v>Объем: 0,887=88,7/100</v>
      </c>
      <c r="M4667"/>
      <c r="N4667"/>
      <c r="O4667"/>
      <c r="P4667"/>
      <c r="Q4667"/>
    </row>
    <row r="4668" spans="1:43" ht="14.25" x14ac:dyDescent="0.2">
      <c r="A4668" s="31"/>
      <c r="B4668" s="31"/>
      <c r="C4668" s="31" t="s">
        <v>34</v>
      </c>
      <c r="D4668" s="32"/>
      <c r="E4668" s="4"/>
      <c r="F4668" s="33">
        <f>[1]Source!AO5899</f>
        <v>34.71</v>
      </c>
      <c r="G4668" s="34" t="str">
        <f>[1]Source!DG5899</f>
        <v>)*2*398</v>
      </c>
      <c r="H4668" s="4">
        <f>[1]Source!AV5899</f>
        <v>1</v>
      </c>
      <c r="I4668" s="4">
        <f>IF([1]Source!BA5899&lt;&gt; 0, [1]Source!BA5899, 1)</f>
        <v>1</v>
      </c>
      <c r="J4668" s="33">
        <f>[1]Source!S5899</f>
        <v>24507.06</v>
      </c>
      <c r="K4668" s="33"/>
      <c r="M4668"/>
      <c r="N4668"/>
      <c r="O4668"/>
      <c r="P4668"/>
      <c r="Q4668"/>
    </row>
    <row r="4669" spans="1:43" ht="14.25" x14ac:dyDescent="0.2">
      <c r="A4669" s="31"/>
      <c r="B4669" s="31"/>
      <c r="C4669" s="31" t="s">
        <v>40</v>
      </c>
      <c r="D4669" s="32" t="s">
        <v>39</v>
      </c>
      <c r="E4669" s="4">
        <f>[1]Source!AT5899</f>
        <v>70</v>
      </c>
      <c r="F4669" s="33"/>
      <c r="G4669" s="34"/>
      <c r="H4669" s="4"/>
      <c r="I4669" s="4"/>
      <c r="J4669" s="33">
        <f>SUM(AC4666:AC4668)</f>
        <v>17154.939999999999</v>
      </c>
      <c r="K4669" s="33"/>
      <c r="M4669"/>
      <c r="N4669"/>
      <c r="O4669"/>
      <c r="P4669"/>
      <c r="Q4669"/>
    </row>
    <row r="4670" spans="1:43" ht="14.25" x14ac:dyDescent="0.2">
      <c r="A4670" s="31"/>
      <c r="B4670" s="31"/>
      <c r="C4670" s="31" t="s">
        <v>41</v>
      </c>
      <c r="D4670" s="32" t="s">
        <v>39</v>
      </c>
      <c r="E4670" s="4">
        <f>[1]Source!AU5899</f>
        <v>10</v>
      </c>
      <c r="F4670" s="33"/>
      <c r="G4670" s="34"/>
      <c r="H4670" s="4"/>
      <c r="I4670" s="4"/>
      <c r="J4670" s="33">
        <f>SUM(AE4666:AE4669)</f>
        <v>2450.71</v>
      </c>
      <c r="K4670" s="33"/>
      <c r="M4670"/>
      <c r="N4670"/>
      <c r="O4670"/>
      <c r="P4670"/>
      <c r="Q4670"/>
    </row>
    <row r="4671" spans="1:43" ht="14.25" x14ac:dyDescent="0.2">
      <c r="A4671" s="31"/>
      <c r="B4671" s="31"/>
      <c r="C4671" s="31" t="s">
        <v>42</v>
      </c>
      <c r="D4671" s="32" t="s">
        <v>43</v>
      </c>
      <c r="E4671" s="4">
        <f>[1]Source!AQ5899</f>
        <v>0.14000000000000001</v>
      </c>
      <c r="F4671" s="33"/>
      <c r="G4671" s="34" t="str">
        <f>[1]Source!DI5899</f>
        <v>)*2*398</v>
      </c>
      <c r="H4671" s="4">
        <f>[1]Source!AV5899</f>
        <v>1</v>
      </c>
      <c r="I4671" s="4"/>
      <c r="J4671" s="33"/>
      <c r="K4671" s="33">
        <f>[1]Source!U5899</f>
        <v>98.847280000000012</v>
      </c>
      <c r="M4671"/>
      <c r="N4671"/>
      <c r="O4671"/>
      <c r="P4671"/>
      <c r="Q4671"/>
    </row>
    <row r="4672" spans="1:43" ht="15" x14ac:dyDescent="0.25">
      <c r="A4672" s="35"/>
      <c r="B4672" s="35"/>
      <c r="C4672" s="35"/>
      <c r="D4672" s="35"/>
      <c r="E4672" s="35"/>
      <c r="F4672" s="35"/>
      <c r="G4672" s="35"/>
      <c r="H4672" s="35"/>
      <c r="I4672" s="36">
        <f>J4668+J4669+J4670</f>
        <v>44112.71</v>
      </c>
      <c r="J4672" s="36"/>
      <c r="K4672" s="37">
        <f>IF([1]Source!I5899&lt;&gt;0, ROUND(I4672/[1]Source!I5899, 2), 0)</f>
        <v>49732.480000000003</v>
      </c>
      <c r="M4672"/>
      <c r="N4672"/>
      <c r="O4672"/>
      <c r="P4672"/>
      <c r="Q4672"/>
      <c r="AA4672" s="38">
        <f>I4672</f>
        <v>44112.71</v>
      </c>
    </row>
    <row r="4673" spans="1:33" ht="28.5" x14ac:dyDescent="0.2">
      <c r="A4673" s="31">
        <v>575</v>
      </c>
      <c r="B4673" s="31" t="str">
        <f>[1]Source!F5900</f>
        <v>5.3-1101-14-1/1</v>
      </c>
      <c r="C4673" s="31" t="str">
        <f>[1]Source!G5900</f>
        <v>Полив дорожек из шланга вручную( промывка пролета)</v>
      </c>
      <c r="D4673" s="32" t="str">
        <f>[1]Source!H5900</f>
        <v>100 м2</v>
      </c>
      <c r="E4673" s="4">
        <f>[1]Source!I5900</f>
        <v>0.88700000000000001</v>
      </c>
      <c r="F4673" s="33"/>
      <c r="G4673" s="34"/>
      <c r="H4673" s="4"/>
      <c r="I4673" s="4"/>
      <c r="J4673" s="33"/>
      <c r="K4673" s="33"/>
      <c r="M4673"/>
      <c r="N4673"/>
      <c r="O4673"/>
      <c r="P4673"/>
      <c r="Q4673"/>
      <c r="AB4673">
        <f>ROUND(([1]Source!BZ5900/100)*ROUND(([1]Source!AF5900*[1]Source!AV5900)*[1]Source!I5900, 2), 2)</f>
        <v>1160.67</v>
      </c>
      <c r="AC4673">
        <f>[1]Source!X5900</f>
        <v>1160.67</v>
      </c>
      <c r="AD4673">
        <f>ROUND(([1]Source!CA5900/100)*ROUND(([1]Source!AF5900*[1]Source!AV5900)*[1]Source!I5900, 2), 2)</f>
        <v>165.81</v>
      </c>
      <c r="AE4673">
        <f>[1]Source!Y5900</f>
        <v>165.81</v>
      </c>
      <c r="AF4673">
        <f>ROUND((175/100)*ROUND(([1]Source!AE5900*[1]Source!AV5900)*[1]Source!I5900, 2), 2)</f>
        <v>0</v>
      </c>
      <c r="AG4673">
        <f>ROUND((108/100)*ROUND([1]Source!CS5900*[1]Source!I5900, 2), 2)</f>
        <v>0</v>
      </c>
    </row>
    <row r="4674" spans="1:33" x14ac:dyDescent="0.2">
      <c r="C4674" s="40" t="str">
        <f>"Объем: "&amp;[1]Source!I5900&amp;"=88,7/"&amp;"100"</f>
        <v>Объем: 0,887=88,7/100</v>
      </c>
      <c r="M4674"/>
      <c r="N4674"/>
      <c r="O4674"/>
      <c r="P4674"/>
      <c r="Q4674"/>
    </row>
    <row r="4675" spans="1:33" ht="14.25" x14ac:dyDescent="0.2">
      <c r="A4675" s="31"/>
      <c r="B4675" s="31"/>
      <c r="C4675" s="31" t="s">
        <v>34</v>
      </c>
      <c r="D4675" s="32"/>
      <c r="E4675" s="4"/>
      <c r="F4675" s="33">
        <f>[1]Source!AO5900</f>
        <v>32.229999999999997</v>
      </c>
      <c r="G4675" s="34" t="str">
        <f>[1]Source!DG5900</f>
        <v>)*1*58</v>
      </c>
      <c r="H4675" s="4">
        <f>[1]Source!AV5900</f>
        <v>1</v>
      </c>
      <c r="I4675" s="4">
        <f>IF([1]Source!BA5900&lt;&gt; 0, [1]Source!BA5900, 1)</f>
        <v>1</v>
      </c>
      <c r="J4675" s="33">
        <f>[1]Source!S5900</f>
        <v>1658.1</v>
      </c>
      <c r="K4675" s="33"/>
      <c r="M4675"/>
      <c r="N4675"/>
      <c r="O4675"/>
      <c r="P4675"/>
      <c r="Q4675"/>
    </row>
    <row r="4676" spans="1:33" ht="14.25" x14ac:dyDescent="0.2">
      <c r="A4676" s="31"/>
      <c r="B4676" s="31"/>
      <c r="C4676" s="31" t="s">
        <v>47</v>
      </c>
      <c r="D4676" s="32"/>
      <c r="E4676" s="4"/>
      <c r="F4676" s="33">
        <f>[1]Source!AL5900</f>
        <v>4.24</v>
      </c>
      <c r="G4676" s="34" t="str">
        <f>[1]Source!DD5900</f>
        <v>)*1*58</v>
      </c>
      <c r="H4676" s="4">
        <f>[1]Source!AW5900</f>
        <v>1</v>
      </c>
      <c r="I4676" s="4">
        <f>IF([1]Source!BC5900&lt;&gt; 0, [1]Source!BC5900, 1)</f>
        <v>1</v>
      </c>
      <c r="J4676" s="33">
        <f>[1]Source!P5900</f>
        <v>218.13</v>
      </c>
      <c r="K4676" s="33"/>
      <c r="M4676"/>
      <c r="N4676"/>
      <c r="O4676"/>
      <c r="P4676"/>
      <c r="Q4676"/>
    </row>
    <row r="4677" spans="1:33" ht="14.25" x14ac:dyDescent="0.2">
      <c r="A4677" s="31" t="s">
        <v>204</v>
      </c>
      <c r="B4677" s="31" t="str">
        <f>[1]Source!F5901</f>
        <v>21.1-25-13</v>
      </c>
      <c r="C4677" s="31" t="str">
        <f>[1]Source!G5901</f>
        <v>Вода</v>
      </c>
      <c r="D4677" s="32" t="str">
        <f>[1]Source!H5901</f>
        <v>м3</v>
      </c>
      <c r="E4677" s="4">
        <f>[1]Source!I5901</f>
        <v>-5.1445999999999996</v>
      </c>
      <c r="F4677" s="33">
        <f>[1]Source!AK5901</f>
        <v>42.44</v>
      </c>
      <c r="G4677" s="39" t="s">
        <v>121</v>
      </c>
      <c r="H4677" s="4">
        <f>[1]Source!AW5901</f>
        <v>1</v>
      </c>
      <c r="I4677" s="4">
        <f>IF([1]Source!BC5901&lt;&gt; 0, [1]Source!BC5901, 1)</f>
        <v>1</v>
      </c>
      <c r="J4677" s="33">
        <f>[1]Source!O5901</f>
        <v>-218.34</v>
      </c>
      <c r="K4677" s="33"/>
      <c r="M4677"/>
      <c r="N4677"/>
      <c r="O4677"/>
      <c r="P4677"/>
      <c r="Q4677"/>
      <c r="AB4677">
        <f>ROUND(([1]Source!BZ5901/100)*ROUND(([1]Source!AF5901*[1]Source!AV5901)*[1]Source!I5901, 2), 2)</f>
        <v>0</v>
      </c>
      <c r="AC4677">
        <f>[1]Source!X5901</f>
        <v>0</v>
      </c>
      <c r="AD4677">
        <f>ROUND(([1]Source!CA5901/100)*ROUND(([1]Source!AF5901*[1]Source!AV5901)*[1]Source!I5901, 2), 2)</f>
        <v>0</v>
      </c>
      <c r="AE4677">
        <f>[1]Source!Y5901</f>
        <v>0</v>
      </c>
      <c r="AF4677">
        <f>ROUND((175/100)*ROUND(([1]Source!AE5901*[1]Source!AV5901)*[1]Source!I5901, 2), 2)</f>
        <v>0</v>
      </c>
      <c r="AG4677">
        <f>ROUND((108/100)*ROUND([1]Source!CS5901*[1]Source!I5901, 2), 2)</f>
        <v>0</v>
      </c>
    </row>
    <row r="4678" spans="1:33" ht="14.25" x14ac:dyDescent="0.2">
      <c r="A4678" s="31"/>
      <c r="B4678" s="31"/>
      <c r="C4678" s="31" t="s">
        <v>40</v>
      </c>
      <c r="D4678" s="32" t="s">
        <v>39</v>
      </c>
      <c r="E4678" s="4">
        <f>[1]Source!AT5900</f>
        <v>70</v>
      </c>
      <c r="F4678" s="33"/>
      <c r="G4678" s="34"/>
      <c r="H4678" s="4"/>
      <c r="I4678" s="4"/>
      <c r="J4678" s="33">
        <f>SUM(AC4673:AC4677)</f>
        <v>1160.67</v>
      </c>
      <c r="K4678" s="33"/>
      <c r="M4678"/>
      <c r="N4678"/>
      <c r="O4678"/>
      <c r="P4678"/>
      <c r="Q4678"/>
    </row>
    <row r="4679" spans="1:33" ht="14.25" x14ac:dyDescent="0.2">
      <c r="A4679" s="31"/>
      <c r="B4679" s="31"/>
      <c r="C4679" s="31" t="s">
        <v>41</v>
      </c>
      <c r="D4679" s="32" t="s">
        <v>39</v>
      </c>
      <c r="E4679" s="4">
        <f>[1]Source!AU5900</f>
        <v>10</v>
      </c>
      <c r="F4679" s="33"/>
      <c r="G4679" s="34"/>
      <c r="H4679" s="4"/>
      <c r="I4679" s="4"/>
      <c r="J4679" s="33">
        <f>SUM(AE4673:AE4678)</f>
        <v>165.81</v>
      </c>
      <c r="K4679" s="33"/>
      <c r="M4679"/>
      <c r="N4679"/>
      <c r="O4679"/>
      <c r="P4679"/>
      <c r="Q4679"/>
    </row>
    <row r="4680" spans="1:33" ht="14.25" x14ac:dyDescent="0.2">
      <c r="A4680" s="31"/>
      <c r="B4680" s="31"/>
      <c r="C4680" s="31" t="s">
        <v>42</v>
      </c>
      <c r="D4680" s="32" t="s">
        <v>43</v>
      </c>
      <c r="E4680" s="4">
        <f>[1]Source!AQ5900</f>
        <v>0.13</v>
      </c>
      <c r="F4680" s="33"/>
      <c r="G4680" s="34" t="str">
        <f>[1]Source!DI5900</f>
        <v>)*1*58</v>
      </c>
      <c r="H4680" s="4">
        <f>[1]Source!AV5900</f>
        <v>1</v>
      </c>
      <c r="I4680" s="4"/>
      <c r="J4680" s="33"/>
      <c r="K4680" s="33">
        <f>[1]Source!U5900</f>
        <v>6.6879800000000005</v>
      </c>
      <c r="M4680"/>
      <c r="N4680"/>
      <c r="O4680"/>
      <c r="P4680"/>
      <c r="Q4680"/>
    </row>
    <row r="4681" spans="1:33" ht="15" x14ac:dyDescent="0.25">
      <c r="A4681" s="35"/>
      <c r="B4681" s="35"/>
      <c r="C4681" s="35"/>
      <c r="D4681" s="35"/>
      <c r="E4681" s="35"/>
      <c r="F4681" s="35"/>
      <c r="G4681" s="35"/>
      <c r="H4681" s="35"/>
      <c r="I4681" s="36">
        <f>J4675+J4676+J4678+J4679+SUM(J4677:J4677)</f>
        <v>2984.37</v>
      </c>
      <c r="J4681" s="36"/>
      <c r="K4681" s="37">
        <f>IF([1]Source!I5900&lt;&gt;0, ROUND(I4681/[1]Source!I5900, 2), 0)</f>
        <v>3364.57</v>
      </c>
      <c r="M4681"/>
      <c r="N4681"/>
      <c r="O4681"/>
      <c r="P4681"/>
      <c r="Q4681"/>
      <c r="AA4681" s="38">
        <f>I4681</f>
        <v>2984.37</v>
      </c>
    </row>
    <row r="4682" spans="1:33" x14ac:dyDescent="0.2">
      <c r="M4682"/>
      <c r="N4682"/>
      <c r="O4682"/>
      <c r="P4682"/>
      <c r="Q4682"/>
    </row>
    <row r="4683" spans="1:33" ht="15" x14ac:dyDescent="0.25">
      <c r="A4683" s="42" t="str">
        <f>CONCATENATE("Итого по подразделу: ",IF([1]Source!G5903&lt;&gt;"Новый подраздел", [1]Source!G5903, ""))</f>
        <v>Итого по подразделу: Уход за лестницами</v>
      </c>
      <c r="B4683" s="42"/>
      <c r="C4683" s="42"/>
      <c r="D4683" s="42"/>
      <c r="E4683" s="42"/>
      <c r="F4683" s="42"/>
      <c r="G4683" s="42"/>
      <c r="H4683" s="42"/>
      <c r="I4683" s="43">
        <f>SUM(AA4665:AA4682)</f>
        <v>47097.08</v>
      </c>
      <c r="J4683" s="44"/>
      <c r="K4683" s="47"/>
      <c r="L4683" s="38">
        <f>I4683</f>
        <v>47097.08</v>
      </c>
      <c r="M4683" s="2">
        <f>ROUND(I4683*$I$4874,2)</f>
        <v>34013.83</v>
      </c>
      <c r="N4683" s="2">
        <f>ROUND(M4683*1.2/105*100,2)</f>
        <v>38872.949999999997</v>
      </c>
      <c r="O4683" s="2">
        <f>ROUND(N4683*0.05,2)</f>
        <v>1943.65</v>
      </c>
      <c r="P4683" s="2">
        <f>N4683+O4683</f>
        <v>40816.6</v>
      </c>
      <c r="Q4683" s="3">
        <v>108</v>
      </c>
      <c r="S4683" s="2">
        <v>0</v>
      </c>
    </row>
    <row r="4684" spans="1:33" x14ac:dyDescent="0.2">
      <c r="M4684"/>
      <c r="N4684"/>
      <c r="O4684"/>
      <c r="P4684"/>
      <c r="Q4684"/>
    </row>
    <row r="4685" spans="1:33" x14ac:dyDescent="0.2">
      <c r="M4685"/>
      <c r="N4685"/>
      <c r="O4685"/>
      <c r="P4685"/>
      <c r="Q4685"/>
    </row>
    <row r="4686" spans="1:33" ht="16.5" x14ac:dyDescent="0.25">
      <c r="A4686" s="29" t="str">
        <f>CONCATENATE("Подраздел: ",IF([1]Source!G5933&lt;&gt;"Новый подраздел", [1]Source!G5933, ""))</f>
        <v>Подраздел: Подпорные стенки</v>
      </c>
      <c r="B4686" s="29"/>
      <c r="C4686" s="29"/>
      <c r="D4686" s="29"/>
      <c r="E4686" s="29"/>
      <c r="F4686" s="29"/>
      <c r="G4686" s="29"/>
      <c r="H4686" s="29"/>
      <c r="I4686" s="29"/>
      <c r="J4686" s="29"/>
      <c r="K4686" s="29"/>
      <c r="M4686"/>
      <c r="N4686"/>
      <c r="O4686"/>
      <c r="P4686"/>
      <c r="Q4686"/>
    </row>
    <row r="4687" spans="1:33" ht="57" x14ac:dyDescent="0.2">
      <c r="A4687" s="31">
        <v>576</v>
      </c>
      <c r="B4687" s="31" t="str">
        <f>[1]Source!F5937</f>
        <v>5.3-1101-5-1/1</v>
      </c>
      <c r="C4687" s="31" t="str">
        <f>[1]Source!G5937</f>
        <v>Промывка оград железобетонных от пыли и грязи водой под напором( промывка гранитных и ж/б подпорных стен)( прим.)</v>
      </c>
      <c r="D4687" s="32" t="str">
        <f>[1]Source!H5937</f>
        <v>100 м2</v>
      </c>
      <c r="E4687" s="4">
        <f>[1]Source!I5937</f>
        <v>6.3482000000000003</v>
      </c>
      <c r="F4687" s="33"/>
      <c r="G4687" s="34"/>
      <c r="H4687" s="4"/>
      <c r="I4687" s="4"/>
      <c r="J4687" s="33"/>
      <c r="K4687" s="33"/>
      <c r="M4687"/>
      <c r="N4687"/>
      <c r="O4687"/>
      <c r="P4687"/>
      <c r="Q4687"/>
      <c r="AB4687">
        <f>ROUND(([1]Source!BZ5937/100)*ROUND(([1]Source!AF5937*[1]Source!AV5937)*[1]Source!I5937, 2), 2)</f>
        <v>4539.1899999999996</v>
      </c>
      <c r="AC4687">
        <f>[1]Source!X5937</f>
        <v>4539.1899999999996</v>
      </c>
      <c r="AD4687">
        <f>ROUND(([1]Source!CA5937/100)*ROUND(([1]Source!AF5937*[1]Source!AV5937)*[1]Source!I5937, 2), 2)</f>
        <v>648.46</v>
      </c>
      <c r="AE4687">
        <f>[1]Source!Y5937</f>
        <v>648.46</v>
      </c>
      <c r="AF4687">
        <f>ROUND((175/100)*ROUND(([1]Source!AE5937*[1]Source!AV5937)*[1]Source!I5937, 2), 2)</f>
        <v>27137.48</v>
      </c>
      <c r="AG4687">
        <f>ROUND((108/100)*ROUND([1]Source!CS5937*[1]Source!I5937, 2), 2)</f>
        <v>16747.7</v>
      </c>
    </row>
    <row r="4688" spans="1:33" x14ac:dyDescent="0.2">
      <c r="C4688" s="40" t="str">
        <f>"Объем: "&amp;[1]Source!I5937&amp;"=634,82/"&amp;"100"</f>
        <v>Объем: 6,3482=634,82/100</v>
      </c>
      <c r="M4688"/>
      <c r="N4688"/>
      <c r="O4688"/>
      <c r="P4688"/>
      <c r="Q4688"/>
    </row>
    <row r="4689" spans="1:33" ht="14.25" x14ac:dyDescent="0.2">
      <c r="A4689" s="31"/>
      <c r="B4689" s="31"/>
      <c r="C4689" s="31" t="s">
        <v>34</v>
      </c>
      <c r="D4689" s="32"/>
      <c r="E4689" s="4"/>
      <c r="F4689" s="33">
        <f>[1]Source!AO5937</f>
        <v>255.37</v>
      </c>
      <c r="G4689" s="34" t="str">
        <f>[1]Source!DG5937</f>
        <v>)*1*4</v>
      </c>
      <c r="H4689" s="4">
        <f>[1]Source!AV5937</f>
        <v>1</v>
      </c>
      <c r="I4689" s="4">
        <f>IF([1]Source!BA5937&lt;&gt; 0, [1]Source!BA5937, 1)</f>
        <v>1</v>
      </c>
      <c r="J4689" s="33">
        <f>[1]Source!S5937</f>
        <v>6484.56</v>
      </c>
      <c r="K4689" s="33"/>
      <c r="M4689"/>
      <c r="N4689"/>
      <c r="O4689"/>
      <c r="P4689"/>
      <c r="Q4689"/>
    </row>
    <row r="4690" spans="1:33" ht="14.25" x14ac:dyDescent="0.2">
      <c r="A4690" s="31"/>
      <c r="B4690" s="31"/>
      <c r="C4690" s="31" t="s">
        <v>33</v>
      </c>
      <c r="D4690" s="32"/>
      <c r="E4690" s="4"/>
      <c r="F4690" s="33">
        <f>[1]Source!AM5937</f>
        <v>1655.86</v>
      </c>
      <c r="G4690" s="34" t="str">
        <f>[1]Source!DE5937</f>
        <v>)*1*4</v>
      </c>
      <c r="H4690" s="4">
        <f>[1]Source!AV5937</f>
        <v>1</v>
      </c>
      <c r="I4690" s="4">
        <f>IF([1]Source!BB5937&lt;&gt; 0, [1]Source!BB5937, 1)</f>
        <v>1</v>
      </c>
      <c r="J4690" s="33">
        <f>[1]Source!Q5937</f>
        <v>42046.92</v>
      </c>
      <c r="K4690" s="33"/>
      <c r="M4690"/>
      <c r="N4690"/>
      <c r="O4690"/>
      <c r="P4690"/>
      <c r="Q4690"/>
    </row>
    <row r="4691" spans="1:33" ht="14.25" x14ac:dyDescent="0.2">
      <c r="A4691" s="31"/>
      <c r="B4691" s="31"/>
      <c r="C4691" s="31" t="s">
        <v>37</v>
      </c>
      <c r="D4691" s="32"/>
      <c r="E4691" s="4"/>
      <c r="F4691" s="33">
        <f>[1]Source!AN5937</f>
        <v>610.69000000000005</v>
      </c>
      <c r="G4691" s="34" t="str">
        <f>[1]Source!DF5937</f>
        <v>)*1*4</v>
      </c>
      <c r="H4691" s="4">
        <f>[1]Source!AV5937</f>
        <v>1</v>
      </c>
      <c r="I4691" s="4">
        <f>IF([1]Source!BS5937&lt;&gt; 0, [1]Source!BS5937, 1)</f>
        <v>1</v>
      </c>
      <c r="J4691" s="41">
        <f>[1]Source!R5937</f>
        <v>15507.13</v>
      </c>
      <c r="K4691" s="33"/>
      <c r="M4691"/>
      <c r="N4691"/>
      <c r="O4691"/>
      <c r="P4691"/>
      <c r="Q4691"/>
    </row>
    <row r="4692" spans="1:33" ht="14.25" x14ac:dyDescent="0.2">
      <c r="A4692" s="31"/>
      <c r="B4692" s="31"/>
      <c r="C4692" s="31" t="s">
        <v>47</v>
      </c>
      <c r="D4692" s="32"/>
      <c r="E4692" s="4"/>
      <c r="F4692" s="33">
        <f>[1]Source!AL5937</f>
        <v>25.46</v>
      </c>
      <c r="G4692" s="34" t="str">
        <f>[1]Source!DD5937</f>
        <v>)*1*4</v>
      </c>
      <c r="H4692" s="4">
        <f>[1]Source!AW5937</f>
        <v>1</v>
      </c>
      <c r="I4692" s="4">
        <f>IF([1]Source!BC5937&lt;&gt; 0, [1]Source!BC5937, 1)</f>
        <v>1</v>
      </c>
      <c r="J4692" s="33">
        <f>[1]Source!P5937</f>
        <v>646.5</v>
      </c>
      <c r="K4692" s="33"/>
      <c r="M4692"/>
      <c r="N4692"/>
      <c r="O4692"/>
      <c r="P4692"/>
      <c r="Q4692"/>
    </row>
    <row r="4693" spans="1:33" ht="14.25" x14ac:dyDescent="0.2">
      <c r="A4693" s="31" t="s">
        <v>205</v>
      </c>
      <c r="B4693" s="31" t="str">
        <f>[1]Source!F5938</f>
        <v>21.1-25-13</v>
      </c>
      <c r="C4693" s="31" t="str">
        <f>[1]Source!G5938</f>
        <v>Вода</v>
      </c>
      <c r="D4693" s="32" t="str">
        <f>[1]Source!H5938</f>
        <v>м3</v>
      </c>
      <c r="E4693" s="4">
        <f>[1]Source!I5938</f>
        <v>-15.23568</v>
      </c>
      <c r="F4693" s="33">
        <f>[1]Source!AK5938</f>
        <v>42.44</v>
      </c>
      <c r="G4693" s="39" t="s">
        <v>127</v>
      </c>
      <c r="H4693" s="4">
        <f>[1]Source!AW5938</f>
        <v>1</v>
      </c>
      <c r="I4693" s="4">
        <f>IF([1]Source!BC5938&lt;&gt; 0, [1]Source!BC5938, 1)</f>
        <v>1</v>
      </c>
      <c r="J4693" s="33">
        <f>[1]Source!O5938</f>
        <v>-646.6</v>
      </c>
      <c r="K4693" s="33"/>
      <c r="M4693"/>
      <c r="N4693"/>
      <c r="O4693"/>
      <c r="P4693"/>
      <c r="Q4693"/>
      <c r="AB4693">
        <f>ROUND(([1]Source!BZ5938/100)*ROUND(([1]Source!AF5938*[1]Source!AV5938)*[1]Source!I5938, 2), 2)</f>
        <v>0</v>
      </c>
      <c r="AC4693">
        <f>[1]Source!X5938</f>
        <v>0</v>
      </c>
      <c r="AD4693">
        <f>ROUND(([1]Source!CA5938/100)*ROUND(([1]Source!AF5938*[1]Source!AV5938)*[1]Source!I5938, 2), 2)</f>
        <v>0</v>
      </c>
      <c r="AE4693">
        <f>[1]Source!Y5938</f>
        <v>0</v>
      </c>
      <c r="AF4693">
        <f>ROUND((175/100)*ROUND(([1]Source!AE5938*[1]Source!AV5938)*[1]Source!I5938, 2), 2)</f>
        <v>0</v>
      </c>
      <c r="AG4693">
        <f>ROUND((108/100)*ROUND([1]Source!CS5938*[1]Source!I5938, 2), 2)</f>
        <v>0</v>
      </c>
    </row>
    <row r="4694" spans="1:33" ht="14.25" x14ac:dyDescent="0.2">
      <c r="A4694" s="31"/>
      <c r="B4694" s="31"/>
      <c r="C4694" s="31" t="s">
        <v>40</v>
      </c>
      <c r="D4694" s="32" t="s">
        <v>39</v>
      </c>
      <c r="E4694" s="4">
        <f>[1]Source!AT5937</f>
        <v>70</v>
      </c>
      <c r="F4694" s="33"/>
      <c r="G4694" s="34"/>
      <c r="H4694" s="4"/>
      <c r="I4694" s="4"/>
      <c r="J4694" s="33">
        <f>SUM(AC4687:AC4693)</f>
        <v>4539.1899999999996</v>
      </c>
      <c r="K4694" s="33"/>
      <c r="M4694"/>
      <c r="N4694"/>
      <c r="O4694"/>
      <c r="P4694"/>
      <c r="Q4694"/>
    </row>
    <row r="4695" spans="1:33" ht="14.25" x14ac:dyDescent="0.2">
      <c r="A4695" s="31"/>
      <c r="B4695" s="31"/>
      <c r="C4695" s="31" t="s">
        <v>41</v>
      </c>
      <c r="D4695" s="32" t="s">
        <v>39</v>
      </c>
      <c r="E4695" s="4">
        <f>[1]Source!AU5937</f>
        <v>10</v>
      </c>
      <c r="F4695" s="33"/>
      <c r="G4695" s="34"/>
      <c r="H4695" s="4"/>
      <c r="I4695" s="4"/>
      <c r="J4695" s="33">
        <f>SUM(AE4687:AE4694)</f>
        <v>648.46</v>
      </c>
      <c r="K4695" s="33"/>
      <c r="M4695"/>
      <c r="N4695"/>
      <c r="O4695"/>
      <c r="P4695"/>
      <c r="Q4695"/>
    </row>
    <row r="4696" spans="1:33" ht="14.25" x14ac:dyDescent="0.2">
      <c r="A4696" s="31"/>
      <c r="B4696" s="31"/>
      <c r="C4696" s="31" t="s">
        <v>38</v>
      </c>
      <c r="D4696" s="32" t="s">
        <v>39</v>
      </c>
      <c r="E4696" s="4">
        <f>108</f>
        <v>108</v>
      </c>
      <c r="F4696" s="33"/>
      <c r="G4696" s="34"/>
      <c r="H4696" s="4"/>
      <c r="I4696" s="4"/>
      <c r="J4696" s="33">
        <f>SUM(AG4687:AG4695)</f>
        <v>16747.7</v>
      </c>
      <c r="K4696" s="33"/>
      <c r="M4696"/>
      <c r="N4696"/>
      <c r="O4696"/>
      <c r="P4696"/>
      <c r="Q4696"/>
    </row>
    <row r="4697" spans="1:33" ht="14.25" x14ac:dyDescent="0.2">
      <c r="A4697" s="31"/>
      <c r="B4697" s="31"/>
      <c r="C4697" s="31" t="s">
        <v>42</v>
      </c>
      <c r="D4697" s="32" t="s">
        <v>43</v>
      </c>
      <c r="E4697" s="4">
        <f>[1]Source!AQ5937</f>
        <v>1.03</v>
      </c>
      <c r="F4697" s="33"/>
      <c r="G4697" s="34" t="str">
        <f>[1]Source!DI5937</f>
        <v>)*1*4</v>
      </c>
      <c r="H4697" s="4">
        <f>[1]Source!AV5937</f>
        <v>1</v>
      </c>
      <c r="I4697" s="4"/>
      <c r="J4697" s="33"/>
      <c r="K4697" s="33">
        <f>[1]Source!U5937</f>
        <v>26.154584000000003</v>
      </c>
      <c r="M4697"/>
      <c r="N4697"/>
      <c r="O4697"/>
      <c r="P4697"/>
      <c r="Q4697"/>
    </row>
    <row r="4698" spans="1:33" ht="15" x14ac:dyDescent="0.25">
      <c r="A4698" s="35"/>
      <c r="B4698" s="35"/>
      <c r="C4698" s="35"/>
      <c r="D4698" s="35"/>
      <c r="E4698" s="35"/>
      <c r="F4698" s="35"/>
      <c r="G4698" s="35"/>
      <c r="H4698" s="35"/>
      <c r="I4698" s="36">
        <f>J4689+J4690+J4692+J4694+J4695+J4696+SUM(J4693:J4693)</f>
        <v>70466.73</v>
      </c>
      <c r="J4698" s="36"/>
      <c r="K4698" s="37">
        <f>IF([1]Source!I5937&lt;&gt;0, ROUND(I4698/[1]Source!I5937, 2), 0)</f>
        <v>11100.27</v>
      </c>
      <c r="M4698"/>
      <c r="N4698"/>
      <c r="O4698"/>
      <c r="P4698"/>
      <c r="Q4698"/>
      <c r="AA4698" s="38">
        <f>I4698</f>
        <v>70466.73</v>
      </c>
    </row>
    <row r="4699" spans="1:33" ht="42.75" x14ac:dyDescent="0.2">
      <c r="A4699" s="31">
        <v>577</v>
      </c>
      <c r="B4699" s="31" t="str">
        <f>[1]Source!F5939</f>
        <v>5.3-1101-7-1/1</v>
      </c>
      <c r="C4699" s="31" t="str">
        <f>[1]Source!G5939</f>
        <v>Протирка оград железобетонных от пыли и грязи( протирка подпорных стен)(прим.)</v>
      </c>
      <c r="D4699" s="32" t="str">
        <f>[1]Source!H5939</f>
        <v>100 м2</v>
      </c>
      <c r="E4699" s="4">
        <f>[1]Source!I5939</f>
        <v>6.3482000000000003</v>
      </c>
      <c r="F4699" s="33"/>
      <c r="G4699" s="34"/>
      <c r="H4699" s="4"/>
      <c r="I4699" s="4"/>
      <c r="J4699" s="33"/>
      <c r="K4699" s="33"/>
      <c r="M4699"/>
      <c r="N4699"/>
      <c r="O4699"/>
      <c r="P4699"/>
      <c r="Q4699"/>
      <c r="AB4699">
        <f>ROUND(([1]Source!BZ5939/100)*ROUND(([1]Source!AF5939*[1]Source!AV5939)*[1]Source!I5939, 2), 2)</f>
        <v>79875.78</v>
      </c>
      <c r="AC4699">
        <f>[1]Source!X5939</f>
        <v>79875.78</v>
      </c>
      <c r="AD4699">
        <f>ROUND(([1]Source!CA5939/100)*ROUND(([1]Source!AF5939*[1]Source!AV5939)*[1]Source!I5939, 2), 2)</f>
        <v>11410.83</v>
      </c>
      <c r="AE4699">
        <f>[1]Source!Y5939</f>
        <v>11410.83</v>
      </c>
      <c r="AF4699">
        <f>ROUND((175/100)*ROUND(([1]Source!AE5939*[1]Source!AV5939)*[1]Source!I5939, 2), 2)</f>
        <v>0</v>
      </c>
      <c r="AG4699">
        <f>ROUND((108/100)*ROUND([1]Source!CS5939*[1]Source!I5939, 2), 2)</f>
        <v>0</v>
      </c>
    </row>
    <row r="4700" spans="1:33" x14ac:dyDescent="0.2">
      <c r="C4700" s="40" t="str">
        <f>"Объем: "&amp;[1]Source!I5939&amp;"=634,82/"&amp;"100"</f>
        <v>Объем: 6,3482=634,82/100</v>
      </c>
      <c r="M4700"/>
      <c r="N4700"/>
      <c r="O4700"/>
      <c r="P4700"/>
      <c r="Q4700"/>
    </row>
    <row r="4701" spans="1:33" ht="14.25" x14ac:dyDescent="0.2">
      <c r="A4701" s="31"/>
      <c r="B4701" s="31"/>
      <c r="C4701" s="31" t="s">
        <v>34</v>
      </c>
      <c r="D4701" s="32"/>
      <c r="E4701" s="4"/>
      <c r="F4701" s="33">
        <f>[1]Source!AO5939</f>
        <v>1797.49</v>
      </c>
      <c r="G4701" s="34" t="str">
        <f>[1]Source!DG5939</f>
        <v>)*1*10</v>
      </c>
      <c r="H4701" s="4">
        <f>[1]Source!AV5939</f>
        <v>1</v>
      </c>
      <c r="I4701" s="4">
        <f>IF([1]Source!BA5939&lt;&gt; 0, [1]Source!BA5939, 1)</f>
        <v>1</v>
      </c>
      <c r="J4701" s="33">
        <f>[1]Source!S5939</f>
        <v>114108.26</v>
      </c>
      <c r="K4701" s="33"/>
      <c r="M4701"/>
      <c r="N4701"/>
      <c r="O4701"/>
      <c r="P4701"/>
      <c r="Q4701"/>
    </row>
    <row r="4702" spans="1:33" ht="14.25" x14ac:dyDescent="0.2">
      <c r="A4702" s="31"/>
      <c r="B4702" s="31"/>
      <c r="C4702" s="31" t="s">
        <v>47</v>
      </c>
      <c r="D4702" s="32"/>
      <c r="E4702" s="4"/>
      <c r="F4702" s="33">
        <f>[1]Source!AL5939</f>
        <v>5.42</v>
      </c>
      <c r="G4702" s="34" t="str">
        <f>[1]Source!DD5939</f>
        <v>)*1*10</v>
      </c>
      <c r="H4702" s="4">
        <f>[1]Source!AW5939</f>
        <v>1</v>
      </c>
      <c r="I4702" s="4">
        <f>IF([1]Source!BC5939&lt;&gt; 0, [1]Source!BC5939, 1)</f>
        <v>1</v>
      </c>
      <c r="J4702" s="33">
        <f>[1]Source!P5939</f>
        <v>344.07</v>
      </c>
      <c r="K4702" s="33"/>
      <c r="M4702"/>
      <c r="N4702"/>
      <c r="O4702"/>
      <c r="P4702"/>
      <c r="Q4702"/>
    </row>
    <row r="4703" spans="1:33" ht="14.25" x14ac:dyDescent="0.2">
      <c r="A4703" s="31" t="s">
        <v>206</v>
      </c>
      <c r="B4703" s="31" t="str">
        <f>[1]Source!F5940</f>
        <v>21.1-25-13</v>
      </c>
      <c r="C4703" s="31" t="str">
        <f>[1]Source!G5940</f>
        <v>Вода</v>
      </c>
      <c r="D4703" s="32" t="str">
        <f>[1]Source!H5940</f>
        <v>м3</v>
      </c>
      <c r="E4703" s="4">
        <f>[1]Source!I5940</f>
        <v>-1.2696400000000001</v>
      </c>
      <c r="F4703" s="33">
        <f>[1]Source!AK5940</f>
        <v>42.44</v>
      </c>
      <c r="G4703" s="39" t="s">
        <v>158</v>
      </c>
      <c r="H4703" s="4">
        <f>[1]Source!AW5940</f>
        <v>1</v>
      </c>
      <c r="I4703" s="4">
        <f>IF([1]Source!BC5940&lt;&gt; 0, [1]Source!BC5940, 1)</f>
        <v>1</v>
      </c>
      <c r="J4703" s="33">
        <f>[1]Source!O5940</f>
        <v>-53.88</v>
      </c>
      <c r="K4703" s="33"/>
      <c r="M4703"/>
      <c r="N4703"/>
      <c r="O4703"/>
      <c r="P4703"/>
      <c r="Q4703"/>
      <c r="AB4703">
        <f>ROUND(([1]Source!BZ5940/100)*ROUND(([1]Source!AF5940*[1]Source!AV5940)*[1]Source!I5940, 2), 2)</f>
        <v>0</v>
      </c>
      <c r="AC4703">
        <f>[1]Source!X5940</f>
        <v>0</v>
      </c>
      <c r="AD4703">
        <f>ROUND(([1]Source!CA5940/100)*ROUND(([1]Source!AF5940*[1]Source!AV5940)*[1]Source!I5940, 2), 2)</f>
        <v>0</v>
      </c>
      <c r="AE4703">
        <f>[1]Source!Y5940</f>
        <v>0</v>
      </c>
      <c r="AF4703">
        <f>ROUND((175/100)*ROUND(([1]Source!AE5940*[1]Source!AV5940)*[1]Source!I5940, 2), 2)</f>
        <v>0</v>
      </c>
      <c r="AG4703">
        <f>ROUND((108/100)*ROUND([1]Source!CS5940*[1]Source!I5940, 2), 2)</f>
        <v>0</v>
      </c>
    </row>
    <row r="4704" spans="1:33" ht="14.25" x14ac:dyDescent="0.2">
      <c r="A4704" s="31"/>
      <c r="B4704" s="31"/>
      <c r="C4704" s="31" t="s">
        <v>40</v>
      </c>
      <c r="D4704" s="32" t="s">
        <v>39</v>
      </c>
      <c r="E4704" s="4">
        <f>[1]Source!AT5939</f>
        <v>70</v>
      </c>
      <c r="F4704" s="33"/>
      <c r="G4704" s="34"/>
      <c r="H4704" s="4"/>
      <c r="I4704" s="4"/>
      <c r="J4704" s="33">
        <f>SUM(AC4699:AC4703)</f>
        <v>79875.78</v>
      </c>
      <c r="K4704" s="33"/>
      <c r="M4704"/>
      <c r="N4704"/>
      <c r="O4704"/>
      <c r="P4704"/>
      <c r="Q4704"/>
    </row>
    <row r="4705" spans="1:33" ht="14.25" x14ac:dyDescent="0.2">
      <c r="A4705" s="31"/>
      <c r="B4705" s="31"/>
      <c r="C4705" s="31" t="s">
        <v>41</v>
      </c>
      <c r="D4705" s="32" t="s">
        <v>39</v>
      </c>
      <c r="E4705" s="4">
        <f>[1]Source!AU5939</f>
        <v>10</v>
      </c>
      <c r="F4705" s="33"/>
      <c r="G4705" s="34"/>
      <c r="H4705" s="4"/>
      <c r="I4705" s="4"/>
      <c r="J4705" s="33">
        <f>SUM(AE4699:AE4704)</f>
        <v>11410.83</v>
      </c>
      <c r="K4705" s="33"/>
      <c r="M4705"/>
      <c r="N4705"/>
      <c r="O4705"/>
      <c r="P4705"/>
      <c r="Q4705"/>
    </row>
    <row r="4706" spans="1:33" ht="14.25" x14ac:dyDescent="0.2">
      <c r="A4706" s="31"/>
      <c r="B4706" s="31"/>
      <c r="C4706" s="31" t="s">
        <v>42</v>
      </c>
      <c r="D4706" s="32" t="s">
        <v>43</v>
      </c>
      <c r="E4706" s="4">
        <f>[1]Source!AQ5939</f>
        <v>7.25</v>
      </c>
      <c r="F4706" s="33"/>
      <c r="G4706" s="34" t="str">
        <f>[1]Source!DI5939</f>
        <v>)*1*10</v>
      </c>
      <c r="H4706" s="4">
        <f>[1]Source!AV5939</f>
        <v>1</v>
      </c>
      <c r="I4706" s="4"/>
      <c r="J4706" s="33"/>
      <c r="K4706" s="33">
        <f>[1]Source!U5939</f>
        <v>460.24450000000002</v>
      </c>
      <c r="M4706"/>
      <c r="N4706"/>
      <c r="O4706"/>
      <c r="P4706"/>
      <c r="Q4706"/>
    </row>
    <row r="4707" spans="1:33" ht="15" x14ac:dyDescent="0.25">
      <c r="A4707" s="35"/>
      <c r="B4707" s="35"/>
      <c r="C4707" s="35"/>
      <c r="D4707" s="35"/>
      <c r="E4707" s="35"/>
      <c r="F4707" s="35"/>
      <c r="G4707" s="35"/>
      <c r="H4707" s="35"/>
      <c r="I4707" s="36">
        <f>J4701+J4702+J4704+J4705+SUM(J4703:J4703)</f>
        <v>205685.05999999997</v>
      </c>
      <c r="J4707" s="36"/>
      <c r="K4707" s="37">
        <f>IF([1]Source!I5939&lt;&gt;0, ROUND(I4707/[1]Source!I5939, 2), 0)</f>
        <v>32400.53</v>
      </c>
      <c r="M4707"/>
      <c r="N4707"/>
      <c r="O4707"/>
      <c r="P4707"/>
      <c r="Q4707"/>
      <c r="AA4707" s="38">
        <f>I4707</f>
        <v>205685.05999999997</v>
      </c>
    </row>
    <row r="4708" spans="1:33" x14ac:dyDescent="0.2">
      <c r="M4708"/>
      <c r="N4708"/>
      <c r="O4708"/>
      <c r="P4708"/>
      <c r="Q4708"/>
    </row>
    <row r="4709" spans="1:33" ht="15" x14ac:dyDescent="0.25">
      <c r="A4709" s="42" t="str">
        <f>CONCATENATE("Итого по подразделу: ",IF([1]Source!G5942&lt;&gt;"Новый подраздел", [1]Source!G5942, ""))</f>
        <v>Итого по подразделу: Подпорные стенки</v>
      </c>
      <c r="B4709" s="42"/>
      <c r="C4709" s="42"/>
      <c r="D4709" s="42"/>
      <c r="E4709" s="42"/>
      <c r="F4709" s="42"/>
      <c r="G4709" s="42"/>
      <c r="H4709" s="42"/>
      <c r="I4709" s="43">
        <f>SUM(AA4686:AA4708)</f>
        <v>276151.78999999998</v>
      </c>
      <c r="J4709" s="44"/>
      <c r="K4709" s="47"/>
      <c r="L4709" s="38">
        <f>I4709</f>
        <v>276151.78999999998</v>
      </c>
      <c r="M4709" s="2">
        <f>ROUND(I4709*$I$4874,2)</f>
        <v>199438.71</v>
      </c>
      <c r="N4709" s="2">
        <f>ROUND(M4709*1.2/105*100,2)</f>
        <v>227929.95</v>
      </c>
      <c r="O4709" s="2">
        <f>ROUND(N4709*0.05,2)</f>
        <v>11396.5</v>
      </c>
      <c r="P4709" s="2">
        <f>N4709+O4709</f>
        <v>239326.45</v>
      </c>
      <c r="Q4709" s="3">
        <v>112</v>
      </c>
      <c r="S4709" s="2">
        <v>0</v>
      </c>
    </row>
    <row r="4710" spans="1:33" x14ac:dyDescent="0.2">
      <c r="M4710"/>
      <c r="N4710"/>
      <c r="O4710"/>
      <c r="P4710"/>
      <c r="Q4710"/>
    </row>
    <row r="4711" spans="1:33" x14ac:dyDescent="0.2">
      <c r="M4711"/>
      <c r="N4711"/>
      <c r="O4711"/>
      <c r="P4711"/>
      <c r="Q4711"/>
    </row>
    <row r="4712" spans="1:33" ht="15" x14ac:dyDescent="0.25">
      <c r="A4712" s="42" t="str">
        <f>CONCATENATE("Итого по разделу: ",IF([1]Source!G5972&lt;&gt;"Новый раздел", [1]Source!G5972, ""))</f>
        <v>Итого по разделу: "Патриаршее подворье"</v>
      </c>
      <c r="B4712" s="42"/>
      <c r="C4712" s="42"/>
      <c r="D4712" s="42"/>
      <c r="E4712" s="42"/>
      <c r="F4712" s="42"/>
      <c r="G4712" s="42"/>
      <c r="H4712" s="42"/>
      <c r="I4712" s="43">
        <f>SUM(AA4663:AA4711)</f>
        <v>323248.87</v>
      </c>
      <c r="J4712" s="44"/>
      <c r="K4712" s="47"/>
      <c r="L4712" s="38">
        <f>I4712</f>
        <v>323248.87</v>
      </c>
      <c r="M4712" s="2">
        <f>M4683+M4709</f>
        <v>233452.53999999998</v>
      </c>
      <c r="N4712" s="2">
        <f>N4683+N4709</f>
        <v>266802.90000000002</v>
      </c>
      <c r="O4712" s="2">
        <f>ROUND(N4712*0.05,2)</f>
        <v>13340.15</v>
      </c>
      <c r="P4712" s="2">
        <f>SUM(P4683:P4709)</f>
        <v>280143.05</v>
      </c>
      <c r="Q4712" s="48"/>
      <c r="R4712">
        <v>2</v>
      </c>
    </row>
    <row r="4713" spans="1:33" x14ac:dyDescent="0.2">
      <c r="M4713"/>
      <c r="N4713"/>
      <c r="O4713"/>
      <c r="P4713"/>
      <c r="Q4713"/>
    </row>
    <row r="4714" spans="1:33" x14ac:dyDescent="0.2">
      <c r="M4714"/>
      <c r="N4714"/>
      <c r="O4714"/>
      <c r="P4714"/>
      <c r="Q4714"/>
    </row>
    <row r="4715" spans="1:33" ht="16.5" x14ac:dyDescent="0.25">
      <c r="A4715" s="29" t="str">
        <f>CONCATENATE("Раздел: ",IF([1]Source!G6002&lt;&gt;"Новый раздел", [1]Source!G6002, ""))</f>
        <v>Раздел: Содержание покрытий тротуара " Храма зачатия праведной Анны"( наб. Москворецкая, д.3 )</v>
      </c>
      <c r="B4715" s="29"/>
      <c r="C4715" s="29"/>
      <c r="D4715" s="29"/>
      <c r="E4715" s="29"/>
      <c r="F4715" s="29"/>
      <c r="G4715" s="29"/>
      <c r="H4715" s="29"/>
      <c r="I4715" s="29"/>
      <c r="J4715" s="29"/>
      <c r="K4715" s="29"/>
      <c r="M4715"/>
      <c r="N4715"/>
      <c r="O4715"/>
      <c r="P4715"/>
      <c r="Q4715"/>
    </row>
    <row r="4716" spans="1:33" x14ac:dyDescent="0.2">
      <c r="M4716"/>
      <c r="N4716"/>
      <c r="O4716"/>
      <c r="P4716"/>
      <c r="Q4716"/>
    </row>
    <row r="4717" spans="1:33" ht="16.5" x14ac:dyDescent="0.25">
      <c r="A4717" s="29" t="str">
        <f>CONCATENATE("Подраздел: ",IF([1]Source!G6006&lt;&gt;"Новый подраздел", [1]Source!G6006, ""))</f>
        <v>Подраздел: Содержание покрытий( S=100,3 м2)</v>
      </c>
      <c r="B4717" s="29"/>
      <c r="C4717" s="29"/>
      <c r="D4717" s="29"/>
      <c r="E4717" s="29"/>
      <c r="F4717" s="29"/>
      <c r="G4717" s="29"/>
      <c r="H4717" s="29"/>
      <c r="I4717" s="29"/>
      <c r="J4717" s="29"/>
      <c r="K4717" s="29"/>
      <c r="M4717"/>
      <c r="N4717"/>
      <c r="O4717"/>
      <c r="P4717"/>
      <c r="Q4717"/>
    </row>
    <row r="4718" spans="1:33" ht="28.5" x14ac:dyDescent="0.2">
      <c r="A4718" s="31">
        <v>578</v>
      </c>
      <c r="B4718" s="31" t="str">
        <f>[1]Source!F6010</f>
        <v>5.3-1101-13-1/1</v>
      </c>
      <c r="C4718" s="31" t="str">
        <f>[1]Source!G6010</f>
        <v>Подметание вручную дорожек и площадок с твердым покрытием</v>
      </c>
      <c r="D4718" s="32" t="str">
        <f>[1]Source!H6010</f>
        <v>100 м2</v>
      </c>
      <c r="E4718" s="4">
        <f>[1]Source!I6010</f>
        <v>1.0029999999999999</v>
      </c>
      <c r="F4718" s="33"/>
      <c r="G4718" s="34"/>
      <c r="H4718" s="4"/>
      <c r="I4718" s="4"/>
      <c r="J4718" s="33"/>
      <c r="K4718" s="33"/>
      <c r="M4718"/>
      <c r="N4718"/>
      <c r="O4718"/>
      <c r="P4718"/>
      <c r="Q4718"/>
      <c r="AB4718">
        <f>ROUND(([1]Source!BZ6010/100)*ROUND(([1]Source!AF6010*[1]Source!AV6010)*[1]Source!I6010, 2), 2)</f>
        <v>29097.65</v>
      </c>
      <c r="AC4718">
        <f>[1]Source!X6010</f>
        <v>29097.65</v>
      </c>
      <c r="AD4718">
        <f>ROUND(([1]Source!CA6010/100)*ROUND(([1]Source!AF6010*[1]Source!AV6010)*[1]Source!I6010, 2), 2)</f>
        <v>4156.8100000000004</v>
      </c>
      <c r="AE4718">
        <f>[1]Source!Y6010</f>
        <v>4156.8100000000004</v>
      </c>
      <c r="AF4718">
        <f>ROUND((175/100)*ROUND(([1]Source!AE6010*[1]Source!AV6010)*[1]Source!I6010, 2), 2)</f>
        <v>0</v>
      </c>
      <c r="AG4718">
        <f>ROUND((108/100)*ROUND([1]Source!CS6010*[1]Source!I6010, 2), 2)</f>
        <v>0</v>
      </c>
    </row>
    <row r="4719" spans="1:33" x14ac:dyDescent="0.2">
      <c r="C4719" s="40" t="str">
        <f>"Объем: "&amp;[1]Source!I6010&amp;"=100,3/"&amp;"100"</f>
        <v>Объем: 1,003=100,3/100</v>
      </c>
      <c r="M4719"/>
      <c r="N4719"/>
      <c r="O4719"/>
      <c r="P4719"/>
      <c r="Q4719"/>
    </row>
    <row r="4720" spans="1:33" ht="14.25" x14ac:dyDescent="0.2">
      <c r="A4720" s="31"/>
      <c r="B4720" s="31"/>
      <c r="C4720" s="31" t="s">
        <v>34</v>
      </c>
      <c r="D4720" s="32"/>
      <c r="E4720" s="4"/>
      <c r="F4720" s="33">
        <f>[1]Source!AO6010</f>
        <v>34.71</v>
      </c>
      <c r="G4720" s="34" t="str">
        <f>[1]Source!DG6010</f>
        <v>)*3*398</v>
      </c>
      <c r="H4720" s="4">
        <f>[1]Source!AV6010</f>
        <v>1</v>
      </c>
      <c r="I4720" s="4">
        <f>IF([1]Source!BA6010&lt;&gt; 0, [1]Source!BA6010, 1)</f>
        <v>1</v>
      </c>
      <c r="J4720" s="33">
        <f>[1]Source!S6010</f>
        <v>41568.07</v>
      </c>
      <c r="K4720" s="33"/>
      <c r="M4720"/>
      <c r="N4720"/>
      <c r="O4720"/>
      <c r="P4720"/>
      <c r="Q4720"/>
    </row>
    <row r="4721" spans="1:33" ht="14.25" x14ac:dyDescent="0.2">
      <c r="A4721" s="31"/>
      <c r="B4721" s="31"/>
      <c r="C4721" s="31" t="s">
        <v>40</v>
      </c>
      <c r="D4721" s="32" t="s">
        <v>39</v>
      </c>
      <c r="E4721" s="4">
        <f>[1]Source!AT6010</f>
        <v>70</v>
      </c>
      <c r="F4721" s="33"/>
      <c r="G4721" s="34"/>
      <c r="H4721" s="4"/>
      <c r="I4721" s="4"/>
      <c r="J4721" s="33">
        <f>SUM(AC4718:AC4720)</f>
        <v>29097.65</v>
      </c>
      <c r="K4721" s="33"/>
      <c r="M4721"/>
      <c r="N4721"/>
      <c r="O4721"/>
      <c r="P4721"/>
      <c r="Q4721"/>
    </row>
    <row r="4722" spans="1:33" ht="14.25" x14ac:dyDescent="0.2">
      <c r="A4722" s="31"/>
      <c r="B4722" s="31"/>
      <c r="C4722" s="31" t="s">
        <v>41</v>
      </c>
      <c r="D4722" s="32" t="s">
        <v>39</v>
      </c>
      <c r="E4722" s="4">
        <f>[1]Source!AU6010</f>
        <v>10</v>
      </c>
      <c r="F4722" s="33"/>
      <c r="G4722" s="34"/>
      <c r="H4722" s="4"/>
      <c r="I4722" s="4"/>
      <c r="J4722" s="33">
        <f>SUM(AE4718:AE4721)</f>
        <v>4156.8100000000004</v>
      </c>
      <c r="K4722" s="33"/>
      <c r="M4722"/>
      <c r="N4722"/>
      <c r="O4722"/>
      <c r="P4722"/>
      <c r="Q4722"/>
    </row>
    <row r="4723" spans="1:33" ht="14.25" x14ac:dyDescent="0.2">
      <c r="A4723" s="31"/>
      <c r="B4723" s="31"/>
      <c r="C4723" s="31" t="s">
        <v>42</v>
      </c>
      <c r="D4723" s="32" t="s">
        <v>43</v>
      </c>
      <c r="E4723" s="4">
        <f>[1]Source!AQ6010</f>
        <v>0.14000000000000001</v>
      </c>
      <c r="F4723" s="33"/>
      <c r="G4723" s="34" t="str">
        <f>[1]Source!DI6010</f>
        <v>)*3*398</v>
      </c>
      <c r="H4723" s="4">
        <f>[1]Source!AV6010</f>
        <v>1</v>
      </c>
      <c r="I4723" s="4"/>
      <c r="J4723" s="33"/>
      <c r="K4723" s="33">
        <f>[1]Source!U6010</f>
        <v>167.66148000000001</v>
      </c>
      <c r="M4723"/>
      <c r="N4723"/>
      <c r="O4723"/>
      <c r="P4723"/>
      <c r="Q4723"/>
    </row>
    <row r="4724" spans="1:33" ht="15" x14ac:dyDescent="0.25">
      <c r="A4724" s="35"/>
      <c r="B4724" s="35"/>
      <c r="C4724" s="35"/>
      <c r="D4724" s="35"/>
      <c r="E4724" s="35"/>
      <c r="F4724" s="35"/>
      <c r="G4724" s="35"/>
      <c r="H4724" s="35"/>
      <c r="I4724" s="36">
        <f>J4720+J4721+J4722</f>
        <v>74822.53</v>
      </c>
      <c r="J4724" s="36"/>
      <c r="K4724" s="37">
        <f>IF([1]Source!I6010&lt;&gt;0, ROUND(I4724/[1]Source!I6010, 2), 0)</f>
        <v>74598.73</v>
      </c>
      <c r="M4724"/>
      <c r="N4724"/>
      <c r="O4724"/>
      <c r="P4724"/>
      <c r="Q4724"/>
      <c r="AA4724" s="38">
        <f>I4724</f>
        <v>74822.53</v>
      </c>
    </row>
    <row r="4725" spans="1:33" ht="57" x14ac:dyDescent="0.2">
      <c r="A4725" s="31">
        <v>579</v>
      </c>
      <c r="B4725" s="31" t="str">
        <f>[1]Source!F6011</f>
        <v>5.3-1101-13-1/1</v>
      </c>
      <c r="C4725" s="31" t="str">
        <f>[1]Source!G6011</f>
        <v>Подметание вручную дорожек и площадок с твердым покрытием (  дополнительное подметание покрытий в осенний период)</v>
      </c>
      <c r="D4725" s="32" t="str">
        <f>[1]Source!H6011</f>
        <v>100 м2</v>
      </c>
      <c r="E4725" s="4">
        <f>[1]Source!I6011</f>
        <v>1.0029999999999999</v>
      </c>
      <c r="F4725" s="33"/>
      <c r="G4725" s="34"/>
      <c r="H4725" s="4"/>
      <c r="I4725" s="4"/>
      <c r="J4725" s="33"/>
      <c r="K4725" s="33"/>
      <c r="M4725"/>
      <c r="N4725"/>
      <c r="O4725"/>
      <c r="P4725"/>
      <c r="Q4725"/>
      <c r="AB4725">
        <f>ROUND(([1]Source!BZ6011/100)*ROUND(([1]Source!AF6011*[1]Source!AV6011)*[1]Source!I6011, 2), 2)</f>
        <v>1462.2</v>
      </c>
      <c r="AC4725">
        <f>[1]Source!X6011</f>
        <v>1462.2</v>
      </c>
      <c r="AD4725">
        <f>ROUND(([1]Source!CA6011/100)*ROUND(([1]Source!AF6011*[1]Source!AV6011)*[1]Source!I6011, 2), 2)</f>
        <v>208.89</v>
      </c>
      <c r="AE4725">
        <f>[1]Source!Y6011</f>
        <v>208.89</v>
      </c>
      <c r="AF4725">
        <f>ROUND((175/100)*ROUND(([1]Source!AE6011*[1]Source!AV6011)*[1]Source!I6011, 2), 2)</f>
        <v>0</v>
      </c>
      <c r="AG4725">
        <f>ROUND((108/100)*ROUND([1]Source!CS6011*[1]Source!I6011, 2), 2)</f>
        <v>0</v>
      </c>
    </row>
    <row r="4726" spans="1:33" x14ac:dyDescent="0.2">
      <c r="C4726" s="40" t="str">
        <f>"Объем: "&amp;[1]Source!I6011&amp;"=100,3/"&amp;"100"</f>
        <v>Объем: 1,003=100,3/100</v>
      </c>
      <c r="M4726"/>
      <c r="N4726"/>
      <c r="O4726"/>
      <c r="P4726"/>
      <c r="Q4726"/>
    </row>
    <row r="4727" spans="1:33" ht="14.25" x14ac:dyDescent="0.2">
      <c r="A4727" s="31"/>
      <c r="B4727" s="31"/>
      <c r="C4727" s="31" t="s">
        <v>34</v>
      </c>
      <c r="D4727" s="32"/>
      <c r="E4727" s="4"/>
      <c r="F4727" s="33">
        <f>[1]Source!AO6011</f>
        <v>34.71</v>
      </c>
      <c r="G4727" s="34" t="str">
        <f>[1]Source!DG6011</f>
        <v>)*1*60</v>
      </c>
      <c r="H4727" s="4">
        <f>[1]Source!AV6011</f>
        <v>1</v>
      </c>
      <c r="I4727" s="4">
        <f>IF([1]Source!BA6011&lt;&gt; 0, [1]Source!BA6011, 1)</f>
        <v>1</v>
      </c>
      <c r="J4727" s="33">
        <f>[1]Source!S6011</f>
        <v>2088.85</v>
      </c>
      <c r="K4727" s="33"/>
      <c r="M4727"/>
      <c r="N4727"/>
      <c r="O4727"/>
      <c r="P4727"/>
      <c r="Q4727"/>
    </row>
    <row r="4728" spans="1:33" ht="14.25" x14ac:dyDescent="0.2">
      <c r="A4728" s="31"/>
      <c r="B4728" s="31"/>
      <c r="C4728" s="31" t="s">
        <v>40</v>
      </c>
      <c r="D4728" s="32" t="s">
        <v>39</v>
      </c>
      <c r="E4728" s="4">
        <f>[1]Source!AT6011</f>
        <v>70</v>
      </c>
      <c r="F4728" s="33"/>
      <c r="G4728" s="34"/>
      <c r="H4728" s="4"/>
      <c r="I4728" s="4"/>
      <c r="J4728" s="33">
        <f>SUM(AC4725:AC4727)</f>
        <v>1462.2</v>
      </c>
      <c r="K4728" s="33"/>
      <c r="M4728"/>
      <c r="N4728"/>
      <c r="O4728"/>
      <c r="P4728"/>
      <c r="Q4728"/>
    </row>
    <row r="4729" spans="1:33" ht="14.25" x14ac:dyDescent="0.2">
      <c r="A4729" s="31"/>
      <c r="B4729" s="31"/>
      <c r="C4729" s="31" t="s">
        <v>41</v>
      </c>
      <c r="D4729" s="32" t="s">
        <v>39</v>
      </c>
      <c r="E4729" s="4">
        <f>[1]Source!AU6011</f>
        <v>10</v>
      </c>
      <c r="F4729" s="33"/>
      <c r="G4729" s="34"/>
      <c r="H4729" s="4"/>
      <c r="I4729" s="4"/>
      <c r="J4729" s="33">
        <f>SUM(AE4725:AE4728)</f>
        <v>208.89</v>
      </c>
      <c r="K4729" s="33"/>
      <c r="M4729"/>
      <c r="N4729"/>
      <c r="O4729"/>
      <c r="P4729"/>
      <c r="Q4729"/>
    </row>
    <row r="4730" spans="1:33" ht="14.25" x14ac:dyDescent="0.2">
      <c r="A4730" s="31"/>
      <c r="B4730" s="31"/>
      <c r="C4730" s="31" t="s">
        <v>42</v>
      </c>
      <c r="D4730" s="32" t="s">
        <v>43</v>
      </c>
      <c r="E4730" s="4">
        <f>[1]Source!AQ6011</f>
        <v>0.14000000000000001</v>
      </c>
      <c r="F4730" s="33"/>
      <c r="G4730" s="34" t="str">
        <f>[1]Source!DI6011</f>
        <v>)*1*60</v>
      </c>
      <c r="H4730" s="4">
        <f>[1]Source!AV6011</f>
        <v>1</v>
      </c>
      <c r="I4730" s="4"/>
      <c r="J4730" s="33"/>
      <c r="K4730" s="33">
        <f>[1]Source!U6011</f>
        <v>8.4252000000000002</v>
      </c>
      <c r="M4730"/>
      <c r="N4730"/>
      <c r="O4730"/>
      <c r="P4730"/>
      <c r="Q4730"/>
    </row>
    <row r="4731" spans="1:33" ht="15" x14ac:dyDescent="0.25">
      <c r="A4731" s="35"/>
      <c r="B4731" s="35"/>
      <c r="C4731" s="35"/>
      <c r="D4731" s="35"/>
      <c r="E4731" s="35"/>
      <c r="F4731" s="35"/>
      <c r="G4731" s="35"/>
      <c r="H4731" s="35"/>
      <c r="I4731" s="36">
        <f>J4727+J4728+J4729</f>
        <v>3759.94</v>
      </c>
      <c r="J4731" s="36"/>
      <c r="K4731" s="37">
        <f>IF([1]Source!I6011&lt;&gt;0, ROUND(I4731/[1]Source!I6011, 2), 0)</f>
        <v>3748.69</v>
      </c>
      <c r="M4731"/>
      <c r="N4731"/>
      <c r="O4731"/>
      <c r="P4731"/>
      <c r="Q4731"/>
      <c r="AA4731" s="38">
        <f>I4731</f>
        <v>3759.94</v>
      </c>
    </row>
    <row r="4732" spans="1:33" ht="14.25" x14ac:dyDescent="0.2">
      <c r="A4732" s="31">
        <v>580</v>
      </c>
      <c r="B4732" s="31" t="str">
        <f>[1]Source!F6012</f>
        <v>5.3-1101-14-1/1</v>
      </c>
      <c r="C4732" s="31" t="str">
        <f>[1]Source!G6012</f>
        <v>Полив дорожек из шланга вручную</v>
      </c>
      <c r="D4732" s="32" t="str">
        <f>[1]Source!H6012</f>
        <v>100 м2</v>
      </c>
      <c r="E4732" s="4">
        <f>[1]Source!I6012</f>
        <v>1.0029999999999999</v>
      </c>
      <c r="F4732" s="33"/>
      <c r="G4732" s="34"/>
      <c r="H4732" s="4"/>
      <c r="I4732" s="4"/>
      <c r="J4732" s="33"/>
      <c r="K4732" s="33"/>
      <c r="M4732"/>
      <c r="N4732"/>
      <c r="O4732"/>
      <c r="P4732"/>
      <c r="Q4732"/>
      <c r="AB4732">
        <f>ROUND(([1]Source!BZ6012/100)*ROUND(([1]Source!AF6012*[1]Source!AV6012)*[1]Source!I6012, 2), 2)</f>
        <v>4073.16</v>
      </c>
      <c r="AC4732">
        <f>[1]Source!X6012</f>
        <v>4073.16</v>
      </c>
      <c r="AD4732">
        <f>ROUND(([1]Source!CA6012/100)*ROUND(([1]Source!AF6012*[1]Source!AV6012)*[1]Source!I6012, 2), 2)</f>
        <v>581.88</v>
      </c>
      <c r="AE4732">
        <f>[1]Source!Y6012</f>
        <v>581.88</v>
      </c>
      <c r="AF4732">
        <f>ROUND((175/100)*ROUND(([1]Source!AE6012*[1]Source!AV6012)*[1]Source!I6012, 2), 2)</f>
        <v>0</v>
      </c>
      <c r="AG4732">
        <f>ROUND((108/100)*ROUND([1]Source!CS6012*[1]Source!I6012, 2), 2)</f>
        <v>0</v>
      </c>
    </row>
    <row r="4733" spans="1:33" x14ac:dyDescent="0.2">
      <c r="C4733" s="40" t="str">
        <f>"Объем: "&amp;[1]Source!I6012&amp;"=100,3/"&amp;"100"</f>
        <v>Объем: 1,003=100,3/100</v>
      </c>
      <c r="M4733"/>
      <c r="N4733"/>
      <c r="O4733"/>
      <c r="P4733"/>
      <c r="Q4733"/>
    </row>
    <row r="4734" spans="1:33" ht="14.25" x14ac:dyDescent="0.2">
      <c r="A4734" s="31"/>
      <c r="B4734" s="31"/>
      <c r="C4734" s="31" t="s">
        <v>34</v>
      </c>
      <c r="D4734" s="32"/>
      <c r="E4734" s="4"/>
      <c r="F4734" s="33">
        <f>[1]Source!AO6012</f>
        <v>32.229999999999997</v>
      </c>
      <c r="G4734" s="34" t="str">
        <f>[1]Source!DG6012</f>
        <v>)*2*90</v>
      </c>
      <c r="H4734" s="4">
        <f>[1]Source!AV6012</f>
        <v>1</v>
      </c>
      <c r="I4734" s="4">
        <f>IF([1]Source!BA6012&lt;&gt; 0, [1]Source!BA6012, 1)</f>
        <v>1</v>
      </c>
      <c r="J4734" s="33">
        <f>[1]Source!S6012</f>
        <v>5818.8</v>
      </c>
      <c r="K4734" s="33"/>
      <c r="M4734"/>
      <c r="N4734"/>
      <c r="O4734"/>
      <c r="P4734"/>
      <c r="Q4734"/>
    </row>
    <row r="4735" spans="1:33" ht="14.25" x14ac:dyDescent="0.2">
      <c r="A4735" s="31"/>
      <c r="B4735" s="31"/>
      <c r="C4735" s="31" t="s">
        <v>47</v>
      </c>
      <c r="D4735" s="32"/>
      <c r="E4735" s="4"/>
      <c r="F4735" s="33">
        <f>[1]Source!AL6012</f>
        <v>4.24</v>
      </c>
      <c r="G4735" s="34" t="str">
        <f>[1]Source!DD6012</f>
        <v>)*2*90</v>
      </c>
      <c r="H4735" s="4">
        <f>[1]Source!AW6012</f>
        <v>1</v>
      </c>
      <c r="I4735" s="4">
        <f>IF([1]Source!BC6012&lt;&gt; 0, [1]Source!BC6012, 1)</f>
        <v>1</v>
      </c>
      <c r="J4735" s="33">
        <f>[1]Source!P6012</f>
        <v>765.49</v>
      </c>
      <c r="K4735" s="33"/>
      <c r="M4735"/>
      <c r="N4735"/>
      <c r="O4735"/>
      <c r="P4735"/>
      <c r="Q4735"/>
    </row>
    <row r="4736" spans="1:33" ht="14.25" x14ac:dyDescent="0.2">
      <c r="A4736" s="31" t="s">
        <v>207</v>
      </c>
      <c r="B4736" s="31" t="str">
        <f>[1]Source!F6013</f>
        <v>21.1-25-13</v>
      </c>
      <c r="C4736" s="31" t="str">
        <f>[1]Source!G6013</f>
        <v>Вода</v>
      </c>
      <c r="D4736" s="32" t="str">
        <f>[1]Source!H6013</f>
        <v>м3</v>
      </c>
      <c r="E4736" s="4">
        <f>[1]Source!I6013</f>
        <v>-18.053999999999998</v>
      </c>
      <c r="F4736" s="33">
        <f>[1]Source!AK6013</f>
        <v>42.44</v>
      </c>
      <c r="G4736" s="39" t="s">
        <v>104</v>
      </c>
      <c r="H4736" s="4">
        <f>[1]Source!AW6013</f>
        <v>1</v>
      </c>
      <c r="I4736" s="4">
        <f>IF([1]Source!BC6013&lt;&gt; 0, [1]Source!BC6013, 1)</f>
        <v>1</v>
      </c>
      <c r="J4736" s="33">
        <f>[1]Source!O6013</f>
        <v>-766.21</v>
      </c>
      <c r="K4736" s="33"/>
      <c r="M4736"/>
      <c r="N4736"/>
      <c r="O4736"/>
      <c r="P4736"/>
      <c r="Q4736"/>
      <c r="AB4736">
        <f>ROUND(([1]Source!BZ6013/100)*ROUND(([1]Source!AF6013*[1]Source!AV6013)*[1]Source!I6013, 2), 2)</f>
        <v>0</v>
      </c>
      <c r="AC4736">
        <f>[1]Source!X6013</f>
        <v>0</v>
      </c>
      <c r="AD4736">
        <f>ROUND(([1]Source!CA6013/100)*ROUND(([1]Source!AF6013*[1]Source!AV6013)*[1]Source!I6013, 2), 2)</f>
        <v>0</v>
      </c>
      <c r="AE4736">
        <f>[1]Source!Y6013</f>
        <v>0</v>
      </c>
      <c r="AF4736">
        <f>ROUND((175/100)*ROUND(([1]Source!AE6013*[1]Source!AV6013)*[1]Source!I6013, 2), 2)</f>
        <v>0</v>
      </c>
      <c r="AG4736">
        <f>ROUND((108/100)*ROUND([1]Source!CS6013*[1]Source!I6013, 2), 2)</f>
        <v>0</v>
      </c>
    </row>
    <row r="4737" spans="1:33" ht="14.25" x14ac:dyDescent="0.2">
      <c r="A4737" s="31"/>
      <c r="B4737" s="31"/>
      <c r="C4737" s="31" t="s">
        <v>40</v>
      </c>
      <c r="D4737" s="32" t="s">
        <v>39</v>
      </c>
      <c r="E4737" s="4">
        <f>[1]Source!AT6012</f>
        <v>70</v>
      </c>
      <c r="F4737" s="33"/>
      <c r="G4737" s="34"/>
      <c r="H4737" s="4"/>
      <c r="I4737" s="4"/>
      <c r="J4737" s="33">
        <f>SUM(AC4732:AC4736)</f>
        <v>4073.16</v>
      </c>
      <c r="K4737" s="33"/>
      <c r="M4737"/>
      <c r="N4737"/>
      <c r="O4737"/>
      <c r="P4737"/>
      <c r="Q4737"/>
    </row>
    <row r="4738" spans="1:33" ht="14.25" x14ac:dyDescent="0.2">
      <c r="A4738" s="31"/>
      <c r="B4738" s="31"/>
      <c r="C4738" s="31" t="s">
        <v>41</v>
      </c>
      <c r="D4738" s="32" t="s">
        <v>39</v>
      </c>
      <c r="E4738" s="4">
        <f>[1]Source!AU6012</f>
        <v>10</v>
      </c>
      <c r="F4738" s="33"/>
      <c r="G4738" s="34"/>
      <c r="H4738" s="4"/>
      <c r="I4738" s="4"/>
      <c r="J4738" s="33">
        <f>SUM(AE4732:AE4737)</f>
        <v>581.88</v>
      </c>
      <c r="K4738" s="33"/>
      <c r="M4738"/>
      <c r="N4738"/>
      <c r="O4738"/>
      <c r="P4738"/>
      <c r="Q4738"/>
    </row>
    <row r="4739" spans="1:33" ht="14.25" x14ac:dyDescent="0.2">
      <c r="A4739" s="31"/>
      <c r="B4739" s="31"/>
      <c r="C4739" s="31" t="s">
        <v>42</v>
      </c>
      <c r="D4739" s="32" t="s">
        <v>43</v>
      </c>
      <c r="E4739" s="4">
        <f>[1]Source!AQ6012</f>
        <v>0.13</v>
      </c>
      <c r="F4739" s="33"/>
      <c r="G4739" s="34" t="str">
        <f>[1]Source!DI6012</f>
        <v>)*2*90</v>
      </c>
      <c r="H4739" s="4">
        <f>[1]Source!AV6012</f>
        <v>1</v>
      </c>
      <c r="I4739" s="4"/>
      <c r="J4739" s="33"/>
      <c r="K4739" s="33">
        <f>[1]Source!U6012</f>
        <v>23.470199999999998</v>
      </c>
      <c r="M4739"/>
      <c r="N4739"/>
      <c r="O4739"/>
      <c r="P4739"/>
      <c r="Q4739"/>
    </row>
    <row r="4740" spans="1:33" ht="15" x14ac:dyDescent="0.25">
      <c r="A4740" s="35"/>
      <c r="B4740" s="35"/>
      <c r="C4740" s="35"/>
      <c r="D4740" s="35"/>
      <c r="E4740" s="35"/>
      <c r="F4740" s="35"/>
      <c r="G4740" s="35"/>
      <c r="H4740" s="35"/>
      <c r="I4740" s="36">
        <f>J4734+J4735+J4737+J4738+SUM(J4736:J4736)</f>
        <v>10473.119999999999</v>
      </c>
      <c r="J4740" s="36"/>
      <c r="K4740" s="37">
        <f>IF([1]Source!I6012&lt;&gt;0, ROUND(I4740/[1]Source!I6012, 2), 0)</f>
        <v>10441.790000000001</v>
      </c>
      <c r="M4740"/>
      <c r="N4740"/>
      <c r="O4740"/>
      <c r="P4740"/>
      <c r="Q4740"/>
      <c r="AA4740" s="38">
        <f>I4740</f>
        <v>10473.119999999999</v>
      </c>
    </row>
    <row r="4741" spans="1:33" x14ac:dyDescent="0.2">
      <c r="M4741"/>
      <c r="N4741"/>
      <c r="O4741"/>
      <c r="P4741"/>
      <c r="Q4741"/>
    </row>
    <row r="4742" spans="1:33" ht="15" x14ac:dyDescent="0.25">
      <c r="A4742" s="42" t="str">
        <f>CONCATENATE("Итого по подразделу: ",IF([1]Source!G6015&lt;&gt;"Новый подраздел", [1]Source!G6015, ""))</f>
        <v>Итого по подразделу: Содержание покрытий( S=100,3 м2)</v>
      </c>
      <c r="B4742" s="42"/>
      <c r="C4742" s="42"/>
      <c r="D4742" s="42"/>
      <c r="E4742" s="42"/>
      <c r="F4742" s="42"/>
      <c r="G4742" s="42"/>
      <c r="H4742" s="42"/>
      <c r="I4742" s="43">
        <f>SUM(AA4717:AA4741)</f>
        <v>89055.59</v>
      </c>
      <c r="J4742" s="44"/>
      <c r="K4742" s="47"/>
      <c r="L4742" s="38">
        <f>I4742</f>
        <v>89055.59</v>
      </c>
      <c r="M4742" s="2">
        <f>ROUND(I4742*$I$4874,2)</f>
        <v>64316.56</v>
      </c>
      <c r="N4742" s="2">
        <f>ROUND(M4742*1.2/105*100,2)</f>
        <v>73504.639999999999</v>
      </c>
      <c r="O4742" s="2">
        <f>ROUND(N4742*0.05,2)</f>
        <v>3675.23</v>
      </c>
      <c r="P4742" s="2">
        <f>N4742+O4742</f>
        <v>77179.87</v>
      </c>
      <c r="Q4742" s="3">
        <v>127</v>
      </c>
      <c r="S4742" s="2">
        <v>0</v>
      </c>
    </row>
    <row r="4743" spans="1:33" x14ac:dyDescent="0.2">
      <c r="M4743"/>
      <c r="N4743"/>
      <c r="O4743"/>
      <c r="P4743"/>
      <c r="Q4743"/>
    </row>
    <row r="4744" spans="1:33" x14ac:dyDescent="0.2">
      <c r="M4744"/>
      <c r="N4744"/>
      <c r="O4744"/>
      <c r="P4744"/>
      <c r="Q4744"/>
    </row>
    <row r="4745" spans="1:33" ht="16.5" x14ac:dyDescent="0.25">
      <c r="A4745" s="29" t="str">
        <f>CONCATENATE("Подраздел: ",IF([1]Source!G6045&lt;&gt;"Новый подраздел", [1]Source!G6045, ""))</f>
        <v>Подраздел: Уход за лестницами</v>
      </c>
      <c r="B4745" s="29"/>
      <c r="C4745" s="29"/>
      <c r="D4745" s="29"/>
      <c r="E4745" s="29"/>
      <c r="F4745" s="29"/>
      <c r="G4745" s="29"/>
      <c r="H4745" s="29"/>
      <c r="I4745" s="29"/>
      <c r="J4745" s="29"/>
      <c r="K4745" s="29"/>
      <c r="M4745"/>
      <c r="N4745"/>
      <c r="O4745"/>
      <c r="P4745"/>
      <c r="Q4745"/>
    </row>
    <row r="4746" spans="1:33" ht="28.5" x14ac:dyDescent="0.2">
      <c r="A4746" s="31">
        <v>581</v>
      </c>
      <c r="B4746" s="31" t="str">
        <f>[1]Source!F6049</f>
        <v>5.3-1101-13-1/1</v>
      </c>
      <c r="C4746" s="31" t="str">
        <f>[1]Source!G6049</f>
        <v>Подметание вручную дорожек и площадок с твердым покрытием</v>
      </c>
      <c r="D4746" s="32" t="str">
        <f>[1]Source!H6049</f>
        <v>100 м2</v>
      </c>
      <c r="E4746" s="4">
        <f>[1]Source!I6049</f>
        <v>9.0399999999999994E-2</v>
      </c>
      <c r="F4746" s="33"/>
      <c r="G4746" s="34"/>
      <c r="H4746" s="4"/>
      <c r="I4746" s="4"/>
      <c r="J4746" s="33"/>
      <c r="K4746" s="33"/>
      <c r="M4746"/>
      <c r="N4746"/>
      <c r="O4746"/>
      <c r="P4746"/>
      <c r="Q4746"/>
      <c r="AB4746">
        <f>ROUND(([1]Source!BZ6049/100)*ROUND(([1]Source!AF6049*[1]Source!AV6049)*[1]Source!I6049, 2), 2)</f>
        <v>1748.38</v>
      </c>
      <c r="AC4746">
        <f>[1]Source!X6049</f>
        <v>1748.38</v>
      </c>
      <c r="AD4746">
        <f>ROUND(([1]Source!CA6049/100)*ROUND(([1]Source!AF6049*[1]Source!AV6049)*[1]Source!I6049, 2), 2)</f>
        <v>249.77</v>
      </c>
      <c r="AE4746">
        <f>[1]Source!Y6049</f>
        <v>249.77</v>
      </c>
      <c r="AF4746">
        <f>ROUND((175/100)*ROUND(([1]Source!AE6049*[1]Source!AV6049)*[1]Source!I6049, 2), 2)</f>
        <v>0</v>
      </c>
      <c r="AG4746">
        <f>ROUND((108/100)*ROUND([1]Source!CS6049*[1]Source!I6049, 2), 2)</f>
        <v>0</v>
      </c>
    </row>
    <row r="4747" spans="1:33" x14ac:dyDescent="0.2">
      <c r="C4747" s="40" t="str">
        <f>"Объем: "&amp;[1]Source!I6049&amp;"=9,04/"&amp;"100"</f>
        <v>Объем: 0,0904=9,04/100</v>
      </c>
      <c r="M4747"/>
      <c r="N4747"/>
      <c r="O4747"/>
      <c r="P4747"/>
      <c r="Q4747"/>
    </row>
    <row r="4748" spans="1:33" ht="14.25" x14ac:dyDescent="0.2">
      <c r="A4748" s="31"/>
      <c r="B4748" s="31"/>
      <c r="C4748" s="31" t="s">
        <v>34</v>
      </c>
      <c r="D4748" s="32"/>
      <c r="E4748" s="4"/>
      <c r="F4748" s="33">
        <f>[1]Source!AO6049</f>
        <v>34.71</v>
      </c>
      <c r="G4748" s="34" t="str">
        <f>[1]Source!DG6049</f>
        <v>)*2*398</v>
      </c>
      <c r="H4748" s="4">
        <f>[1]Source!AV6049</f>
        <v>1</v>
      </c>
      <c r="I4748" s="4">
        <f>IF([1]Source!BA6049&lt;&gt; 0, [1]Source!BA6049, 1)</f>
        <v>1</v>
      </c>
      <c r="J4748" s="33">
        <f>[1]Source!S6049</f>
        <v>2497.6799999999998</v>
      </c>
      <c r="K4748" s="33"/>
      <c r="M4748"/>
      <c r="N4748"/>
      <c r="O4748"/>
      <c r="P4748"/>
      <c r="Q4748"/>
    </row>
    <row r="4749" spans="1:33" ht="14.25" x14ac:dyDescent="0.2">
      <c r="A4749" s="31"/>
      <c r="B4749" s="31"/>
      <c r="C4749" s="31" t="s">
        <v>40</v>
      </c>
      <c r="D4749" s="32" t="s">
        <v>39</v>
      </c>
      <c r="E4749" s="4">
        <f>[1]Source!AT6049</f>
        <v>70</v>
      </c>
      <c r="F4749" s="33"/>
      <c r="G4749" s="34"/>
      <c r="H4749" s="4"/>
      <c r="I4749" s="4"/>
      <c r="J4749" s="33">
        <f>SUM(AC4746:AC4748)</f>
        <v>1748.38</v>
      </c>
      <c r="K4749" s="33"/>
      <c r="M4749"/>
      <c r="N4749"/>
      <c r="O4749"/>
      <c r="P4749"/>
      <c r="Q4749"/>
    </row>
    <row r="4750" spans="1:33" ht="14.25" x14ac:dyDescent="0.2">
      <c r="A4750" s="31"/>
      <c r="B4750" s="31"/>
      <c r="C4750" s="31" t="s">
        <v>41</v>
      </c>
      <c r="D4750" s="32" t="s">
        <v>39</v>
      </c>
      <c r="E4750" s="4">
        <f>[1]Source!AU6049</f>
        <v>10</v>
      </c>
      <c r="F4750" s="33"/>
      <c r="G4750" s="34"/>
      <c r="H4750" s="4"/>
      <c r="I4750" s="4"/>
      <c r="J4750" s="33">
        <f>SUM(AE4746:AE4749)</f>
        <v>249.77</v>
      </c>
      <c r="K4750" s="33"/>
      <c r="M4750"/>
      <c r="N4750"/>
      <c r="O4750"/>
      <c r="P4750"/>
      <c r="Q4750"/>
    </row>
    <row r="4751" spans="1:33" ht="14.25" x14ac:dyDescent="0.2">
      <c r="A4751" s="31"/>
      <c r="B4751" s="31"/>
      <c r="C4751" s="31" t="s">
        <v>42</v>
      </c>
      <c r="D4751" s="32" t="s">
        <v>43</v>
      </c>
      <c r="E4751" s="4">
        <f>[1]Source!AQ6049</f>
        <v>0.14000000000000001</v>
      </c>
      <c r="F4751" s="33"/>
      <c r="G4751" s="34" t="str">
        <f>[1]Source!DI6049</f>
        <v>)*2*398</v>
      </c>
      <c r="H4751" s="4">
        <f>[1]Source!AV6049</f>
        <v>1</v>
      </c>
      <c r="I4751" s="4"/>
      <c r="J4751" s="33"/>
      <c r="K4751" s="33">
        <f>[1]Source!U6049</f>
        <v>10.074176</v>
      </c>
      <c r="M4751"/>
      <c r="N4751"/>
      <c r="O4751"/>
      <c r="P4751"/>
      <c r="Q4751"/>
    </row>
    <row r="4752" spans="1:33" ht="15" x14ac:dyDescent="0.25">
      <c r="A4752" s="35"/>
      <c r="B4752" s="35"/>
      <c r="C4752" s="35"/>
      <c r="D4752" s="35"/>
      <c r="E4752" s="35"/>
      <c r="F4752" s="35"/>
      <c r="G4752" s="35"/>
      <c r="H4752" s="35"/>
      <c r="I4752" s="36">
        <f>J4748+J4749+J4750</f>
        <v>4495.83</v>
      </c>
      <c r="J4752" s="36"/>
      <c r="K4752" s="37">
        <f>IF([1]Source!I6049&lt;&gt;0, ROUND(I4752/[1]Source!I6049, 2), 0)</f>
        <v>49732.63</v>
      </c>
      <c r="M4752"/>
      <c r="N4752"/>
      <c r="O4752"/>
      <c r="P4752"/>
      <c r="Q4752"/>
      <c r="AA4752" s="38">
        <f>I4752</f>
        <v>4495.83</v>
      </c>
    </row>
    <row r="4753" spans="1:33" ht="28.5" x14ac:dyDescent="0.2">
      <c r="A4753" s="31">
        <v>582</v>
      </c>
      <c r="B4753" s="31" t="str">
        <f>[1]Source!F6050</f>
        <v>5.3-1101-14-1/1</v>
      </c>
      <c r="C4753" s="31" t="str">
        <f>[1]Source!G6050</f>
        <v>Полив дорожек из шланга вручную( промывка пролета)</v>
      </c>
      <c r="D4753" s="32" t="str">
        <f>[1]Source!H6050</f>
        <v>100 м2</v>
      </c>
      <c r="E4753" s="4">
        <f>[1]Source!I6050</f>
        <v>9.0399999999999994E-2</v>
      </c>
      <c r="F4753" s="33"/>
      <c r="G4753" s="34"/>
      <c r="H4753" s="4"/>
      <c r="I4753" s="4"/>
      <c r="J4753" s="33"/>
      <c r="K4753" s="33"/>
      <c r="M4753"/>
      <c r="N4753"/>
      <c r="O4753"/>
      <c r="P4753"/>
      <c r="Q4753"/>
      <c r="AB4753">
        <f>ROUND(([1]Source!BZ6050/100)*ROUND(([1]Source!AF6050*[1]Source!AV6050)*[1]Source!I6050, 2), 2)</f>
        <v>118.29</v>
      </c>
      <c r="AC4753">
        <f>[1]Source!X6050</f>
        <v>118.29</v>
      </c>
      <c r="AD4753">
        <f>ROUND(([1]Source!CA6050/100)*ROUND(([1]Source!AF6050*[1]Source!AV6050)*[1]Source!I6050, 2), 2)</f>
        <v>16.899999999999999</v>
      </c>
      <c r="AE4753">
        <f>[1]Source!Y6050</f>
        <v>16.899999999999999</v>
      </c>
      <c r="AF4753">
        <f>ROUND((175/100)*ROUND(([1]Source!AE6050*[1]Source!AV6050)*[1]Source!I6050, 2), 2)</f>
        <v>0</v>
      </c>
      <c r="AG4753">
        <f>ROUND((108/100)*ROUND([1]Source!CS6050*[1]Source!I6050, 2), 2)</f>
        <v>0</v>
      </c>
    </row>
    <row r="4754" spans="1:33" x14ac:dyDescent="0.2">
      <c r="C4754" s="40" t="str">
        <f>"Объем: "&amp;[1]Source!I6050&amp;"=9,04/"&amp;"100"</f>
        <v>Объем: 0,0904=9,04/100</v>
      </c>
      <c r="M4754"/>
      <c r="N4754"/>
      <c r="O4754"/>
      <c r="P4754"/>
      <c r="Q4754"/>
    </row>
    <row r="4755" spans="1:33" ht="14.25" x14ac:dyDescent="0.2">
      <c r="A4755" s="31"/>
      <c r="B4755" s="31"/>
      <c r="C4755" s="31" t="s">
        <v>34</v>
      </c>
      <c r="D4755" s="32"/>
      <c r="E4755" s="4"/>
      <c r="F4755" s="33">
        <f>[1]Source!AO6050</f>
        <v>32.229999999999997</v>
      </c>
      <c r="G4755" s="34" t="str">
        <f>[1]Source!DG6050</f>
        <v>)*1*58</v>
      </c>
      <c r="H4755" s="4">
        <f>[1]Source!AV6050</f>
        <v>1</v>
      </c>
      <c r="I4755" s="4">
        <f>IF([1]Source!BA6050&lt;&gt; 0, [1]Source!BA6050, 1)</f>
        <v>1</v>
      </c>
      <c r="J4755" s="33">
        <f>[1]Source!S6050</f>
        <v>168.99</v>
      </c>
      <c r="K4755" s="33"/>
      <c r="M4755"/>
      <c r="N4755"/>
      <c r="O4755"/>
      <c r="P4755"/>
      <c r="Q4755"/>
    </row>
    <row r="4756" spans="1:33" ht="14.25" x14ac:dyDescent="0.2">
      <c r="A4756" s="31"/>
      <c r="B4756" s="31"/>
      <c r="C4756" s="31" t="s">
        <v>47</v>
      </c>
      <c r="D4756" s="32"/>
      <c r="E4756" s="4"/>
      <c r="F4756" s="33">
        <f>[1]Source!AL6050</f>
        <v>4.24</v>
      </c>
      <c r="G4756" s="34" t="str">
        <f>[1]Source!DD6050</f>
        <v>)*1*58</v>
      </c>
      <c r="H4756" s="4">
        <f>[1]Source!AW6050</f>
        <v>1</v>
      </c>
      <c r="I4756" s="4">
        <f>IF([1]Source!BC6050&lt;&gt; 0, [1]Source!BC6050, 1)</f>
        <v>1</v>
      </c>
      <c r="J4756" s="33">
        <f>[1]Source!P6050</f>
        <v>22.23</v>
      </c>
      <c r="K4756" s="33"/>
      <c r="M4756"/>
      <c r="N4756"/>
      <c r="O4756"/>
      <c r="P4756"/>
      <c r="Q4756"/>
    </row>
    <row r="4757" spans="1:33" ht="14.25" x14ac:dyDescent="0.2">
      <c r="A4757" s="31" t="s">
        <v>208</v>
      </c>
      <c r="B4757" s="31" t="str">
        <f>[1]Source!F6051</f>
        <v>21.1-25-13</v>
      </c>
      <c r="C4757" s="31" t="str">
        <f>[1]Source!G6051</f>
        <v>Вода</v>
      </c>
      <c r="D4757" s="32" t="str">
        <f>[1]Source!H6051</f>
        <v>м3</v>
      </c>
      <c r="E4757" s="4">
        <f>[1]Source!I6051</f>
        <v>-0.52432000000000001</v>
      </c>
      <c r="F4757" s="33">
        <f>[1]Source!AK6051</f>
        <v>42.44</v>
      </c>
      <c r="G4757" s="39" t="s">
        <v>121</v>
      </c>
      <c r="H4757" s="4">
        <f>[1]Source!AW6051</f>
        <v>1</v>
      </c>
      <c r="I4757" s="4">
        <f>IF([1]Source!BC6051&lt;&gt; 0, [1]Source!BC6051, 1)</f>
        <v>1</v>
      </c>
      <c r="J4757" s="33">
        <f>[1]Source!O6051</f>
        <v>-22.25</v>
      </c>
      <c r="K4757" s="33"/>
      <c r="M4757"/>
      <c r="N4757"/>
      <c r="O4757"/>
      <c r="P4757"/>
      <c r="Q4757"/>
      <c r="AB4757">
        <f>ROUND(([1]Source!BZ6051/100)*ROUND(([1]Source!AF6051*[1]Source!AV6051)*[1]Source!I6051, 2), 2)</f>
        <v>0</v>
      </c>
      <c r="AC4757">
        <f>[1]Source!X6051</f>
        <v>0</v>
      </c>
      <c r="AD4757">
        <f>ROUND(([1]Source!CA6051/100)*ROUND(([1]Source!AF6051*[1]Source!AV6051)*[1]Source!I6051, 2), 2)</f>
        <v>0</v>
      </c>
      <c r="AE4757">
        <f>[1]Source!Y6051</f>
        <v>0</v>
      </c>
      <c r="AF4757">
        <f>ROUND((175/100)*ROUND(([1]Source!AE6051*[1]Source!AV6051)*[1]Source!I6051, 2), 2)</f>
        <v>0</v>
      </c>
      <c r="AG4757">
        <f>ROUND((108/100)*ROUND([1]Source!CS6051*[1]Source!I6051, 2), 2)</f>
        <v>0</v>
      </c>
    </row>
    <row r="4758" spans="1:33" ht="14.25" x14ac:dyDescent="0.2">
      <c r="A4758" s="31"/>
      <c r="B4758" s="31"/>
      <c r="C4758" s="31" t="s">
        <v>40</v>
      </c>
      <c r="D4758" s="32" t="s">
        <v>39</v>
      </c>
      <c r="E4758" s="4">
        <f>[1]Source!AT6050</f>
        <v>70</v>
      </c>
      <c r="F4758" s="33"/>
      <c r="G4758" s="34"/>
      <c r="H4758" s="4"/>
      <c r="I4758" s="4"/>
      <c r="J4758" s="33">
        <f>SUM(AC4753:AC4757)</f>
        <v>118.29</v>
      </c>
      <c r="K4758" s="33"/>
      <c r="M4758"/>
      <c r="N4758"/>
      <c r="O4758"/>
      <c r="P4758"/>
      <c r="Q4758"/>
    </row>
    <row r="4759" spans="1:33" ht="14.25" x14ac:dyDescent="0.2">
      <c r="A4759" s="31"/>
      <c r="B4759" s="31"/>
      <c r="C4759" s="31" t="s">
        <v>41</v>
      </c>
      <c r="D4759" s="32" t="s">
        <v>39</v>
      </c>
      <c r="E4759" s="4">
        <f>[1]Source!AU6050</f>
        <v>10</v>
      </c>
      <c r="F4759" s="33"/>
      <c r="G4759" s="34"/>
      <c r="H4759" s="4"/>
      <c r="I4759" s="4"/>
      <c r="J4759" s="33">
        <f>SUM(AE4753:AE4758)</f>
        <v>16.899999999999999</v>
      </c>
      <c r="K4759" s="33"/>
      <c r="M4759"/>
      <c r="N4759"/>
      <c r="O4759"/>
      <c r="P4759"/>
      <c r="Q4759"/>
    </row>
    <row r="4760" spans="1:33" ht="14.25" x14ac:dyDescent="0.2">
      <c r="A4760" s="31"/>
      <c r="B4760" s="31"/>
      <c r="C4760" s="31" t="s">
        <v>42</v>
      </c>
      <c r="D4760" s="32" t="s">
        <v>43</v>
      </c>
      <c r="E4760" s="4">
        <f>[1]Source!AQ6050</f>
        <v>0.13</v>
      </c>
      <c r="F4760" s="33"/>
      <c r="G4760" s="34" t="str">
        <f>[1]Source!DI6050</f>
        <v>)*1*58</v>
      </c>
      <c r="H4760" s="4">
        <f>[1]Source!AV6050</f>
        <v>1</v>
      </c>
      <c r="I4760" s="4"/>
      <c r="J4760" s="33"/>
      <c r="K4760" s="33">
        <f>[1]Source!U6050</f>
        <v>0.681616</v>
      </c>
      <c r="M4760"/>
      <c r="N4760"/>
      <c r="O4760"/>
      <c r="P4760"/>
      <c r="Q4760"/>
    </row>
    <row r="4761" spans="1:33" ht="15" x14ac:dyDescent="0.25">
      <c r="A4761" s="35"/>
      <c r="B4761" s="35"/>
      <c r="C4761" s="35"/>
      <c r="D4761" s="35"/>
      <c r="E4761" s="35"/>
      <c r="F4761" s="35"/>
      <c r="G4761" s="35"/>
      <c r="H4761" s="35"/>
      <c r="I4761" s="36">
        <f>J4755+J4756+J4758+J4759+SUM(J4757:J4757)</f>
        <v>304.15999999999997</v>
      </c>
      <c r="J4761" s="36"/>
      <c r="K4761" s="37">
        <f>IF([1]Source!I6050&lt;&gt;0, ROUND(I4761/[1]Source!I6050, 2), 0)</f>
        <v>3364.6</v>
      </c>
      <c r="M4761"/>
      <c r="N4761"/>
      <c r="O4761"/>
      <c r="P4761"/>
      <c r="Q4761"/>
      <c r="AA4761" s="38">
        <f>I4761</f>
        <v>304.15999999999997</v>
      </c>
    </row>
    <row r="4762" spans="1:33" x14ac:dyDescent="0.2">
      <c r="M4762"/>
      <c r="N4762"/>
      <c r="O4762"/>
      <c r="P4762"/>
      <c r="Q4762"/>
    </row>
    <row r="4763" spans="1:33" ht="15" x14ac:dyDescent="0.25">
      <c r="A4763" s="42" t="str">
        <f>CONCATENATE("Итого по подразделу: ",IF([1]Source!G6053&lt;&gt;"Новый подраздел", [1]Source!G6053, ""))</f>
        <v>Итого по подразделу: Уход за лестницами</v>
      </c>
      <c r="B4763" s="42"/>
      <c r="C4763" s="42"/>
      <c r="D4763" s="42"/>
      <c r="E4763" s="42"/>
      <c r="F4763" s="42"/>
      <c r="G4763" s="42"/>
      <c r="H4763" s="42"/>
      <c r="I4763" s="43">
        <f>SUM(AA4745:AA4762)</f>
        <v>4799.99</v>
      </c>
      <c r="J4763" s="44"/>
      <c r="K4763" s="47"/>
      <c r="L4763" s="38">
        <f>I4763</f>
        <v>4799.99</v>
      </c>
      <c r="M4763" s="2">
        <f>ROUND(I4763*$I$4874,2)</f>
        <v>3466.59</v>
      </c>
      <c r="N4763" s="2">
        <f>ROUND(M4763*1.2/105*100,2)</f>
        <v>3961.82</v>
      </c>
      <c r="O4763" s="2">
        <f>ROUND(N4763*0.05,2)</f>
        <v>198.09</v>
      </c>
      <c r="P4763" s="2">
        <f>N4763+O4763</f>
        <v>4159.91</v>
      </c>
      <c r="Q4763" s="3">
        <v>120</v>
      </c>
      <c r="S4763" s="2">
        <v>0</v>
      </c>
    </row>
    <row r="4764" spans="1:33" x14ac:dyDescent="0.2">
      <c r="M4764"/>
      <c r="N4764"/>
      <c r="O4764"/>
      <c r="P4764"/>
      <c r="Q4764"/>
    </row>
    <row r="4765" spans="1:33" x14ac:dyDescent="0.2">
      <c r="M4765"/>
      <c r="N4765"/>
      <c r="O4765"/>
      <c r="P4765"/>
      <c r="Q4765"/>
    </row>
    <row r="4766" spans="1:33" ht="16.5" x14ac:dyDescent="0.25">
      <c r="A4766" s="29" t="str">
        <f>CONCATENATE("Подраздел: ",IF([1]Source!G6083&lt;&gt;"Новый подраздел", [1]Source!G6083, ""))</f>
        <v>Подраздел: Подпорные стенки</v>
      </c>
      <c r="B4766" s="29"/>
      <c r="C4766" s="29"/>
      <c r="D4766" s="29"/>
      <c r="E4766" s="29"/>
      <c r="F4766" s="29"/>
      <c r="G4766" s="29"/>
      <c r="H4766" s="29"/>
      <c r="I4766" s="29"/>
      <c r="J4766" s="29"/>
      <c r="K4766" s="29"/>
      <c r="M4766"/>
      <c r="N4766"/>
      <c r="O4766"/>
      <c r="P4766"/>
      <c r="Q4766"/>
    </row>
    <row r="4767" spans="1:33" ht="57" x14ac:dyDescent="0.2">
      <c r="A4767" s="31">
        <v>583</v>
      </c>
      <c r="B4767" s="31" t="str">
        <f>[1]Source!F6087</f>
        <v>5.3-1101-5-1/1</v>
      </c>
      <c r="C4767" s="31" t="str">
        <f>[1]Source!G6087</f>
        <v>Промывка оград железобетонных от пыли и грязи водой под напором( промывка гранитных  подпорных стен)( прим.)</v>
      </c>
      <c r="D4767" s="32" t="str">
        <f>[1]Source!H6087</f>
        <v>100 м2</v>
      </c>
      <c r="E4767" s="4">
        <f>[1]Source!I6087</f>
        <v>0.127</v>
      </c>
      <c r="F4767" s="33"/>
      <c r="G4767" s="34"/>
      <c r="H4767" s="4"/>
      <c r="I4767" s="4"/>
      <c r="J4767" s="33"/>
      <c r="K4767" s="33"/>
      <c r="M4767"/>
      <c r="N4767"/>
      <c r="O4767"/>
      <c r="P4767"/>
      <c r="Q4767"/>
      <c r="AB4767">
        <f>ROUND(([1]Source!BZ6087/100)*ROUND(([1]Source!AF6087*[1]Source!AV6087)*[1]Source!I6087, 2), 2)</f>
        <v>90.81</v>
      </c>
      <c r="AC4767">
        <f>[1]Source!X6087</f>
        <v>90.81</v>
      </c>
      <c r="AD4767">
        <f>ROUND(([1]Source!CA6087/100)*ROUND(([1]Source!AF6087*[1]Source!AV6087)*[1]Source!I6087, 2), 2)</f>
        <v>12.97</v>
      </c>
      <c r="AE4767">
        <f>[1]Source!Y6087</f>
        <v>12.97</v>
      </c>
      <c r="AF4767">
        <f>ROUND((175/100)*ROUND(([1]Source!AE6087*[1]Source!AV6087)*[1]Source!I6087, 2), 2)</f>
        <v>542.9</v>
      </c>
      <c r="AG4767">
        <f>ROUND((108/100)*ROUND([1]Source!CS6087*[1]Source!I6087, 2), 2)</f>
        <v>335.05</v>
      </c>
    </row>
    <row r="4768" spans="1:33" x14ac:dyDescent="0.2">
      <c r="C4768" s="40" t="str">
        <f>"Объем: "&amp;[1]Source!I6087&amp;"=12,7/"&amp;"100"</f>
        <v>Объем: 0,127=12,7/100</v>
      </c>
      <c r="M4768"/>
      <c r="N4768"/>
      <c r="O4768"/>
      <c r="P4768"/>
      <c r="Q4768"/>
    </row>
    <row r="4769" spans="1:33" ht="14.25" x14ac:dyDescent="0.2">
      <c r="A4769" s="31"/>
      <c r="B4769" s="31"/>
      <c r="C4769" s="31" t="s">
        <v>34</v>
      </c>
      <c r="D4769" s="32"/>
      <c r="E4769" s="4"/>
      <c r="F4769" s="33">
        <f>[1]Source!AO6087</f>
        <v>255.37</v>
      </c>
      <c r="G4769" s="34" t="str">
        <f>[1]Source!DG6087</f>
        <v>)*1*4</v>
      </c>
      <c r="H4769" s="4">
        <f>[1]Source!AV6087</f>
        <v>1</v>
      </c>
      <c r="I4769" s="4">
        <f>IF([1]Source!BA6087&lt;&gt; 0, [1]Source!BA6087, 1)</f>
        <v>1</v>
      </c>
      <c r="J4769" s="33">
        <f>[1]Source!S6087</f>
        <v>129.72999999999999</v>
      </c>
      <c r="K4769" s="33"/>
      <c r="M4769"/>
      <c r="N4769"/>
      <c r="O4769"/>
      <c r="P4769"/>
      <c r="Q4769"/>
    </row>
    <row r="4770" spans="1:33" ht="14.25" x14ac:dyDescent="0.2">
      <c r="A4770" s="31"/>
      <c r="B4770" s="31"/>
      <c r="C4770" s="31" t="s">
        <v>33</v>
      </c>
      <c r="D4770" s="32"/>
      <c r="E4770" s="4"/>
      <c r="F4770" s="33">
        <f>[1]Source!AM6087</f>
        <v>1655.86</v>
      </c>
      <c r="G4770" s="34" t="str">
        <f>[1]Source!DE6087</f>
        <v>)*1*4</v>
      </c>
      <c r="H4770" s="4">
        <f>[1]Source!AV6087</f>
        <v>1</v>
      </c>
      <c r="I4770" s="4">
        <f>IF([1]Source!BB6087&lt;&gt; 0, [1]Source!BB6087, 1)</f>
        <v>1</v>
      </c>
      <c r="J4770" s="33">
        <f>[1]Source!Q6087</f>
        <v>841.18</v>
      </c>
      <c r="K4770" s="33"/>
      <c r="M4770"/>
      <c r="N4770"/>
      <c r="O4770"/>
      <c r="P4770"/>
      <c r="Q4770"/>
    </row>
    <row r="4771" spans="1:33" ht="14.25" x14ac:dyDescent="0.2">
      <c r="A4771" s="31"/>
      <c r="B4771" s="31"/>
      <c r="C4771" s="31" t="s">
        <v>37</v>
      </c>
      <c r="D4771" s="32"/>
      <c r="E4771" s="4"/>
      <c r="F4771" s="33">
        <f>[1]Source!AN6087</f>
        <v>610.69000000000005</v>
      </c>
      <c r="G4771" s="34" t="str">
        <f>[1]Source!DF6087</f>
        <v>)*1*4</v>
      </c>
      <c r="H4771" s="4">
        <f>[1]Source!AV6087</f>
        <v>1</v>
      </c>
      <c r="I4771" s="4">
        <f>IF([1]Source!BS6087&lt;&gt; 0, [1]Source!BS6087, 1)</f>
        <v>1</v>
      </c>
      <c r="J4771" s="41">
        <f>[1]Source!R6087</f>
        <v>310.23</v>
      </c>
      <c r="K4771" s="33"/>
      <c r="M4771"/>
      <c r="N4771"/>
      <c r="O4771"/>
      <c r="P4771"/>
      <c r="Q4771"/>
    </row>
    <row r="4772" spans="1:33" ht="14.25" x14ac:dyDescent="0.2">
      <c r="A4772" s="31"/>
      <c r="B4772" s="31"/>
      <c r="C4772" s="31" t="s">
        <v>47</v>
      </c>
      <c r="D4772" s="32"/>
      <c r="E4772" s="4"/>
      <c r="F4772" s="33">
        <f>[1]Source!AL6087</f>
        <v>25.46</v>
      </c>
      <c r="G4772" s="34" t="str">
        <f>[1]Source!DD6087</f>
        <v>)*1*4</v>
      </c>
      <c r="H4772" s="4">
        <f>[1]Source!AW6087</f>
        <v>1</v>
      </c>
      <c r="I4772" s="4">
        <f>IF([1]Source!BC6087&lt;&gt; 0, [1]Source!BC6087, 1)</f>
        <v>1</v>
      </c>
      <c r="J4772" s="33">
        <f>[1]Source!P6087</f>
        <v>12.93</v>
      </c>
      <c r="K4772" s="33"/>
      <c r="M4772"/>
      <c r="N4772"/>
      <c r="O4772"/>
      <c r="P4772"/>
      <c r="Q4772"/>
    </row>
    <row r="4773" spans="1:33" ht="14.25" x14ac:dyDescent="0.2">
      <c r="A4773" s="31" t="s">
        <v>209</v>
      </c>
      <c r="B4773" s="31" t="str">
        <f>[1]Source!F6088</f>
        <v>21.1-25-13</v>
      </c>
      <c r="C4773" s="31" t="str">
        <f>[1]Source!G6088</f>
        <v>Вода</v>
      </c>
      <c r="D4773" s="32" t="str">
        <f>[1]Source!H6088</f>
        <v>м3</v>
      </c>
      <c r="E4773" s="4">
        <f>[1]Source!I6088</f>
        <v>-0.30480000000000002</v>
      </c>
      <c r="F4773" s="33">
        <f>[1]Source!AK6088</f>
        <v>42.44</v>
      </c>
      <c r="G4773" s="39" t="s">
        <v>127</v>
      </c>
      <c r="H4773" s="4">
        <f>[1]Source!AW6088</f>
        <v>1</v>
      </c>
      <c r="I4773" s="4">
        <f>IF([1]Source!BC6088&lt;&gt; 0, [1]Source!BC6088, 1)</f>
        <v>1</v>
      </c>
      <c r="J4773" s="33">
        <f>[1]Source!O6088</f>
        <v>-12.94</v>
      </c>
      <c r="K4773" s="33"/>
      <c r="M4773"/>
      <c r="N4773"/>
      <c r="O4773"/>
      <c r="P4773"/>
      <c r="Q4773"/>
      <c r="AB4773">
        <f>ROUND(([1]Source!BZ6088/100)*ROUND(([1]Source!AF6088*[1]Source!AV6088)*[1]Source!I6088, 2), 2)</f>
        <v>0</v>
      </c>
      <c r="AC4773">
        <f>[1]Source!X6088</f>
        <v>0</v>
      </c>
      <c r="AD4773">
        <f>ROUND(([1]Source!CA6088/100)*ROUND(([1]Source!AF6088*[1]Source!AV6088)*[1]Source!I6088, 2), 2)</f>
        <v>0</v>
      </c>
      <c r="AE4773">
        <f>[1]Source!Y6088</f>
        <v>0</v>
      </c>
      <c r="AF4773">
        <f>ROUND((175/100)*ROUND(([1]Source!AE6088*[1]Source!AV6088)*[1]Source!I6088, 2), 2)</f>
        <v>0</v>
      </c>
      <c r="AG4773">
        <f>ROUND((108/100)*ROUND([1]Source!CS6088*[1]Source!I6088, 2), 2)</f>
        <v>0</v>
      </c>
    </row>
    <row r="4774" spans="1:33" ht="14.25" x14ac:dyDescent="0.2">
      <c r="A4774" s="31"/>
      <c r="B4774" s="31"/>
      <c r="C4774" s="31" t="s">
        <v>40</v>
      </c>
      <c r="D4774" s="32" t="s">
        <v>39</v>
      </c>
      <c r="E4774" s="4">
        <f>[1]Source!AT6087</f>
        <v>70</v>
      </c>
      <c r="F4774" s="33"/>
      <c r="G4774" s="34"/>
      <c r="H4774" s="4"/>
      <c r="I4774" s="4"/>
      <c r="J4774" s="33">
        <f>SUM(AC4767:AC4773)</f>
        <v>90.81</v>
      </c>
      <c r="K4774" s="33"/>
      <c r="M4774"/>
      <c r="N4774"/>
      <c r="O4774"/>
      <c r="P4774"/>
      <c r="Q4774"/>
    </row>
    <row r="4775" spans="1:33" ht="14.25" x14ac:dyDescent="0.2">
      <c r="A4775" s="31"/>
      <c r="B4775" s="31"/>
      <c r="C4775" s="31" t="s">
        <v>41</v>
      </c>
      <c r="D4775" s="32" t="s">
        <v>39</v>
      </c>
      <c r="E4775" s="4">
        <f>[1]Source!AU6087</f>
        <v>10</v>
      </c>
      <c r="F4775" s="33"/>
      <c r="G4775" s="34"/>
      <c r="H4775" s="4"/>
      <c r="I4775" s="4"/>
      <c r="J4775" s="33">
        <f>SUM(AE4767:AE4774)</f>
        <v>12.97</v>
      </c>
      <c r="K4775" s="33"/>
      <c r="M4775"/>
      <c r="N4775"/>
      <c r="O4775"/>
      <c r="P4775"/>
      <c r="Q4775"/>
    </row>
    <row r="4776" spans="1:33" ht="14.25" x14ac:dyDescent="0.2">
      <c r="A4776" s="31"/>
      <c r="B4776" s="31"/>
      <c r="C4776" s="31" t="s">
        <v>38</v>
      </c>
      <c r="D4776" s="32" t="s">
        <v>39</v>
      </c>
      <c r="E4776" s="4">
        <f>108</f>
        <v>108</v>
      </c>
      <c r="F4776" s="33"/>
      <c r="G4776" s="34"/>
      <c r="H4776" s="4"/>
      <c r="I4776" s="4"/>
      <c r="J4776" s="33">
        <f>SUM(AG4767:AG4775)</f>
        <v>335.05</v>
      </c>
      <c r="K4776" s="33"/>
      <c r="M4776"/>
      <c r="N4776"/>
      <c r="O4776"/>
      <c r="P4776"/>
      <c r="Q4776"/>
    </row>
    <row r="4777" spans="1:33" ht="14.25" x14ac:dyDescent="0.2">
      <c r="A4777" s="31"/>
      <c r="B4777" s="31"/>
      <c r="C4777" s="31" t="s">
        <v>42</v>
      </c>
      <c r="D4777" s="32" t="s">
        <v>43</v>
      </c>
      <c r="E4777" s="4">
        <f>[1]Source!AQ6087</f>
        <v>1.03</v>
      </c>
      <c r="F4777" s="33"/>
      <c r="G4777" s="34" t="str">
        <f>[1]Source!DI6087</f>
        <v>)*1*4</v>
      </c>
      <c r="H4777" s="4">
        <f>[1]Source!AV6087</f>
        <v>1</v>
      </c>
      <c r="I4777" s="4"/>
      <c r="J4777" s="33"/>
      <c r="K4777" s="33">
        <f>[1]Source!U6087</f>
        <v>0.52324000000000004</v>
      </c>
      <c r="M4777"/>
      <c r="N4777"/>
      <c r="O4777"/>
      <c r="P4777"/>
      <c r="Q4777"/>
    </row>
    <row r="4778" spans="1:33" ht="15" x14ac:dyDescent="0.25">
      <c r="A4778" s="35"/>
      <c r="B4778" s="35"/>
      <c r="C4778" s="35"/>
      <c r="D4778" s="35"/>
      <c r="E4778" s="35"/>
      <c r="F4778" s="35"/>
      <c r="G4778" s="35"/>
      <c r="H4778" s="35"/>
      <c r="I4778" s="36">
        <f>J4769+J4770+J4772+J4774+J4775+J4776+SUM(J4773:J4773)</f>
        <v>1409.7299999999998</v>
      </c>
      <c r="J4778" s="36"/>
      <c r="K4778" s="37">
        <f>IF([1]Source!I6087&lt;&gt;0, ROUND(I4778/[1]Source!I6087, 2), 0)</f>
        <v>11100.24</v>
      </c>
      <c r="M4778"/>
      <c r="N4778"/>
      <c r="O4778"/>
      <c r="P4778"/>
      <c r="Q4778"/>
      <c r="AA4778" s="38">
        <f>I4778</f>
        <v>1409.7299999999998</v>
      </c>
    </row>
    <row r="4779" spans="1:33" ht="42.75" x14ac:dyDescent="0.2">
      <c r="A4779" s="31">
        <v>584</v>
      </c>
      <c r="B4779" s="31" t="str">
        <f>[1]Source!F6089</f>
        <v>5.3-1101-7-1/1</v>
      </c>
      <c r="C4779" s="31" t="str">
        <f>[1]Source!G6089</f>
        <v>Протирка оград железобетонных от пыли и грязи( протирка подпорных стен)(прим.)</v>
      </c>
      <c r="D4779" s="32" t="str">
        <f>[1]Source!H6089</f>
        <v>100 м2</v>
      </c>
      <c r="E4779" s="4">
        <f>[1]Source!I6089</f>
        <v>0.127</v>
      </c>
      <c r="F4779" s="33"/>
      <c r="G4779" s="34"/>
      <c r="H4779" s="4"/>
      <c r="I4779" s="4"/>
      <c r="J4779" s="33"/>
      <c r="K4779" s="33"/>
      <c r="M4779"/>
      <c r="N4779"/>
      <c r="O4779"/>
      <c r="P4779"/>
      <c r="Q4779"/>
      <c r="AB4779">
        <f>ROUND(([1]Source!BZ6089/100)*ROUND(([1]Source!AF6089*[1]Source!AV6089)*[1]Source!I6089, 2), 2)</f>
        <v>1597.97</v>
      </c>
      <c r="AC4779">
        <f>[1]Source!X6089</f>
        <v>1597.97</v>
      </c>
      <c r="AD4779">
        <f>ROUND(([1]Source!CA6089/100)*ROUND(([1]Source!AF6089*[1]Source!AV6089)*[1]Source!I6089, 2), 2)</f>
        <v>228.28</v>
      </c>
      <c r="AE4779">
        <f>[1]Source!Y6089</f>
        <v>228.28</v>
      </c>
      <c r="AF4779">
        <f>ROUND((175/100)*ROUND(([1]Source!AE6089*[1]Source!AV6089)*[1]Source!I6089, 2), 2)</f>
        <v>0</v>
      </c>
      <c r="AG4779">
        <f>ROUND((108/100)*ROUND([1]Source!CS6089*[1]Source!I6089, 2), 2)</f>
        <v>0</v>
      </c>
    </row>
    <row r="4780" spans="1:33" x14ac:dyDescent="0.2">
      <c r="C4780" s="40" t="str">
        <f>"Объем: "&amp;[1]Source!I6089&amp;"=12,7/"&amp;"100"</f>
        <v>Объем: 0,127=12,7/100</v>
      </c>
      <c r="M4780"/>
      <c r="N4780"/>
      <c r="O4780"/>
      <c r="P4780"/>
      <c r="Q4780"/>
    </row>
    <row r="4781" spans="1:33" ht="14.25" x14ac:dyDescent="0.2">
      <c r="A4781" s="31"/>
      <c r="B4781" s="31"/>
      <c r="C4781" s="31" t="s">
        <v>34</v>
      </c>
      <c r="D4781" s="32"/>
      <c r="E4781" s="4"/>
      <c r="F4781" s="33">
        <f>[1]Source!AO6089</f>
        <v>1797.49</v>
      </c>
      <c r="G4781" s="34" t="str">
        <f>[1]Source!DG6089</f>
        <v>)*1*10</v>
      </c>
      <c r="H4781" s="4">
        <f>[1]Source!AV6089</f>
        <v>1</v>
      </c>
      <c r="I4781" s="4">
        <f>IF([1]Source!BA6089&lt;&gt; 0, [1]Source!BA6089, 1)</f>
        <v>1</v>
      </c>
      <c r="J4781" s="33">
        <f>[1]Source!S6089</f>
        <v>2282.81</v>
      </c>
      <c r="K4781" s="33"/>
      <c r="M4781"/>
      <c r="N4781"/>
      <c r="O4781"/>
      <c r="P4781"/>
      <c r="Q4781"/>
    </row>
    <row r="4782" spans="1:33" ht="14.25" x14ac:dyDescent="0.2">
      <c r="A4782" s="31"/>
      <c r="B4782" s="31"/>
      <c r="C4782" s="31" t="s">
        <v>47</v>
      </c>
      <c r="D4782" s="32"/>
      <c r="E4782" s="4"/>
      <c r="F4782" s="33">
        <f>[1]Source!AL6089</f>
        <v>5.42</v>
      </c>
      <c r="G4782" s="34" t="str">
        <f>[1]Source!DD6089</f>
        <v>)*1*10</v>
      </c>
      <c r="H4782" s="4">
        <f>[1]Source!AW6089</f>
        <v>1</v>
      </c>
      <c r="I4782" s="4">
        <f>IF([1]Source!BC6089&lt;&gt; 0, [1]Source!BC6089, 1)</f>
        <v>1</v>
      </c>
      <c r="J4782" s="33">
        <f>[1]Source!P6089</f>
        <v>6.88</v>
      </c>
      <c r="K4782" s="33"/>
      <c r="M4782"/>
      <c r="N4782"/>
      <c r="O4782"/>
      <c r="P4782"/>
      <c r="Q4782"/>
    </row>
    <row r="4783" spans="1:33" ht="14.25" x14ac:dyDescent="0.2">
      <c r="A4783" s="31" t="s">
        <v>210</v>
      </c>
      <c r="B4783" s="31" t="str">
        <f>[1]Source!F6090</f>
        <v>21.1-25-13</v>
      </c>
      <c r="C4783" s="31" t="str">
        <f>[1]Source!G6090</f>
        <v>Вода</v>
      </c>
      <c r="D4783" s="32" t="str">
        <f>[1]Source!H6090</f>
        <v>м3</v>
      </c>
      <c r="E4783" s="4">
        <f>[1]Source!I6090</f>
        <v>-2.5399999999999999E-2</v>
      </c>
      <c r="F4783" s="33">
        <f>[1]Source!AK6090</f>
        <v>42.44</v>
      </c>
      <c r="G4783" s="39" t="s">
        <v>158</v>
      </c>
      <c r="H4783" s="4">
        <f>[1]Source!AW6090</f>
        <v>1</v>
      </c>
      <c r="I4783" s="4">
        <f>IF([1]Source!BC6090&lt;&gt; 0, [1]Source!BC6090, 1)</f>
        <v>1</v>
      </c>
      <c r="J4783" s="33">
        <f>[1]Source!O6090</f>
        <v>-1.08</v>
      </c>
      <c r="K4783" s="33"/>
      <c r="M4783"/>
      <c r="N4783"/>
      <c r="O4783"/>
      <c r="P4783"/>
      <c r="Q4783"/>
      <c r="AB4783">
        <f>ROUND(([1]Source!BZ6090/100)*ROUND(([1]Source!AF6090*[1]Source!AV6090)*[1]Source!I6090, 2), 2)</f>
        <v>0</v>
      </c>
      <c r="AC4783">
        <f>[1]Source!X6090</f>
        <v>0</v>
      </c>
      <c r="AD4783">
        <f>ROUND(([1]Source!CA6090/100)*ROUND(([1]Source!AF6090*[1]Source!AV6090)*[1]Source!I6090, 2), 2)</f>
        <v>0</v>
      </c>
      <c r="AE4783">
        <f>[1]Source!Y6090</f>
        <v>0</v>
      </c>
      <c r="AF4783">
        <f>ROUND((175/100)*ROUND(([1]Source!AE6090*[1]Source!AV6090)*[1]Source!I6090, 2), 2)</f>
        <v>0</v>
      </c>
      <c r="AG4783">
        <f>ROUND((108/100)*ROUND([1]Source!CS6090*[1]Source!I6090, 2), 2)</f>
        <v>0</v>
      </c>
    </row>
    <row r="4784" spans="1:33" ht="14.25" x14ac:dyDescent="0.2">
      <c r="A4784" s="31"/>
      <c r="B4784" s="31"/>
      <c r="C4784" s="31" t="s">
        <v>40</v>
      </c>
      <c r="D4784" s="32" t="s">
        <v>39</v>
      </c>
      <c r="E4784" s="4">
        <f>[1]Source!AT6089</f>
        <v>70</v>
      </c>
      <c r="F4784" s="33"/>
      <c r="G4784" s="34"/>
      <c r="H4784" s="4"/>
      <c r="I4784" s="4"/>
      <c r="J4784" s="33">
        <f>SUM(AC4779:AC4783)</f>
        <v>1597.97</v>
      </c>
      <c r="K4784" s="33"/>
      <c r="M4784"/>
      <c r="N4784"/>
      <c r="O4784"/>
      <c r="P4784"/>
      <c r="Q4784"/>
    </row>
    <row r="4785" spans="1:43" ht="14.25" x14ac:dyDescent="0.2">
      <c r="A4785" s="31"/>
      <c r="B4785" s="31"/>
      <c r="C4785" s="31" t="s">
        <v>41</v>
      </c>
      <c r="D4785" s="32" t="s">
        <v>39</v>
      </c>
      <c r="E4785" s="4">
        <f>[1]Source!AU6089</f>
        <v>10</v>
      </c>
      <c r="F4785" s="33"/>
      <c r="G4785" s="34"/>
      <c r="H4785" s="4"/>
      <c r="I4785" s="4"/>
      <c r="J4785" s="33">
        <f>SUM(AE4779:AE4784)</f>
        <v>228.28</v>
      </c>
      <c r="K4785" s="33"/>
      <c r="M4785"/>
      <c r="N4785"/>
      <c r="O4785"/>
      <c r="P4785"/>
      <c r="Q4785"/>
    </row>
    <row r="4786" spans="1:43" ht="14.25" x14ac:dyDescent="0.2">
      <c r="A4786" s="31"/>
      <c r="B4786" s="31"/>
      <c r="C4786" s="31" t="s">
        <v>42</v>
      </c>
      <c r="D4786" s="32" t="s">
        <v>43</v>
      </c>
      <c r="E4786" s="4">
        <f>[1]Source!AQ6089</f>
        <v>7.25</v>
      </c>
      <c r="F4786" s="33"/>
      <c r="G4786" s="34" t="str">
        <f>[1]Source!DI6089</f>
        <v>)*1*10</v>
      </c>
      <c r="H4786" s="4">
        <f>[1]Source!AV6089</f>
        <v>1</v>
      </c>
      <c r="I4786" s="4"/>
      <c r="J4786" s="33"/>
      <c r="K4786" s="33">
        <f>[1]Source!U6089</f>
        <v>9.2074999999999996</v>
      </c>
      <c r="M4786"/>
      <c r="N4786"/>
      <c r="O4786"/>
      <c r="P4786"/>
      <c r="Q4786"/>
    </row>
    <row r="4787" spans="1:43" ht="15" x14ac:dyDescent="0.25">
      <c r="A4787" s="35"/>
      <c r="B4787" s="35"/>
      <c r="C4787" s="35"/>
      <c r="D4787" s="35"/>
      <c r="E4787" s="35"/>
      <c r="F4787" s="35"/>
      <c r="G4787" s="35"/>
      <c r="H4787" s="35"/>
      <c r="I4787" s="36">
        <f>J4781+J4782+J4784+J4785+SUM(J4783:J4783)</f>
        <v>4114.8599999999997</v>
      </c>
      <c r="J4787" s="36"/>
      <c r="K4787" s="37">
        <f>IF([1]Source!I6089&lt;&gt;0, ROUND(I4787/[1]Source!I6089, 2), 0)</f>
        <v>32400.47</v>
      </c>
      <c r="M4787"/>
      <c r="N4787"/>
      <c r="O4787"/>
      <c r="P4787"/>
      <c r="Q4787"/>
      <c r="AA4787" s="38">
        <f>I4787</f>
        <v>4114.8599999999997</v>
      </c>
    </row>
    <row r="4788" spans="1:43" x14ac:dyDescent="0.2">
      <c r="M4788"/>
      <c r="N4788"/>
      <c r="O4788"/>
      <c r="P4788"/>
      <c r="Q4788"/>
    </row>
    <row r="4789" spans="1:43" ht="15" x14ac:dyDescent="0.25">
      <c r="A4789" s="42" t="str">
        <f>CONCATENATE("Итого по подразделу: ",IF([1]Source!G6092&lt;&gt;"Новый подраздел", [1]Source!G6092, ""))</f>
        <v>Итого по подразделу: Подпорные стенки</v>
      </c>
      <c r="B4789" s="42"/>
      <c r="C4789" s="42"/>
      <c r="D4789" s="42"/>
      <c r="E4789" s="42"/>
      <c r="F4789" s="42"/>
      <c r="G4789" s="42"/>
      <c r="H4789" s="42"/>
      <c r="I4789" s="43">
        <f>SUM(AA4766:AA4788)</f>
        <v>5524.5899999999992</v>
      </c>
      <c r="J4789" s="44"/>
      <c r="K4789" s="47"/>
      <c r="L4789" s="38">
        <f>I4789</f>
        <v>5524.5899999999992</v>
      </c>
      <c r="M4789" s="2">
        <f>ROUND(I4789*$I$4874,2)</f>
        <v>3989.9</v>
      </c>
      <c r="N4789" s="2">
        <f>ROUND(M4789*1.2/105*100,2)</f>
        <v>4559.8900000000003</v>
      </c>
      <c r="O4789" s="2">
        <f>ROUND(N4789*0.05,2)</f>
        <v>227.99</v>
      </c>
      <c r="P4789" s="2">
        <f>N4789+O4789</f>
        <v>4787.88</v>
      </c>
      <c r="Q4789" s="3">
        <v>113</v>
      </c>
      <c r="S4789" s="2">
        <v>0</v>
      </c>
    </row>
    <row r="4790" spans="1:43" x14ac:dyDescent="0.2">
      <c r="M4790"/>
      <c r="N4790"/>
      <c r="O4790"/>
      <c r="P4790"/>
      <c r="Q4790"/>
    </row>
    <row r="4791" spans="1:43" x14ac:dyDescent="0.2">
      <c r="M4791"/>
      <c r="N4791"/>
      <c r="O4791"/>
      <c r="P4791"/>
      <c r="Q4791"/>
    </row>
    <row r="4792" spans="1:43" ht="30" x14ac:dyDescent="0.25">
      <c r="A4792" s="42" t="str">
        <f>CONCATENATE("Итого по разделу: ",IF([1]Source!G6122&lt;&gt;"Новый раздел", [1]Source!G6122, ""))</f>
        <v>Итого по разделу: Содержание покрытий тротуара " Храма зачатия праведной Анны"( наб. Москворецкая, д.3 )</v>
      </c>
      <c r="B4792" s="42"/>
      <c r="C4792" s="42"/>
      <c r="D4792" s="42"/>
      <c r="E4792" s="42"/>
      <c r="F4792" s="42"/>
      <c r="G4792" s="42"/>
      <c r="H4792" s="42"/>
      <c r="I4792" s="43">
        <f>SUM(AA4715:AA4791)</f>
        <v>99380.17</v>
      </c>
      <c r="J4792" s="44"/>
      <c r="K4792" s="47"/>
      <c r="L4792" s="38">
        <f>I4792</f>
        <v>99380.17</v>
      </c>
      <c r="M4792" s="2">
        <f>M4742+M4763+M4789</f>
        <v>71773.049999999988</v>
      </c>
      <c r="N4792" s="2">
        <f>N4742+N4763+N4789</f>
        <v>82026.350000000006</v>
      </c>
      <c r="O4792" s="2">
        <f>ROUND(N4792*0.05,2)</f>
        <v>4101.32</v>
      </c>
      <c r="P4792" s="2">
        <f>SUM(P4742:P4789)</f>
        <v>86127.66</v>
      </c>
      <c r="Q4792" s="48"/>
      <c r="R4792">
        <v>2</v>
      </c>
      <c r="AQ4792" s="46" t="str">
        <f>CONCATENATE("Итого по разделу: ",IF([1]Source!G6122&lt;&gt;"Новый раздел", [1]Source!G6122, ""))</f>
        <v>Итого по разделу: Содержание покрытий тротуара " Храма зачатия праведной Анны"( наб. Москворецкая, д.3 )</v>
      </c>
    </row>
    <row r="4793" spans="1:43" x14ac:dyDescent="0.2">
      <c r="M4793"/>
      <c r="N4793"/>
      <c r="O4793"/>
      <c r="P4793"/>
      <c r="Q4793"/>
    </row>
    <row r="4794" spans="1:43" x14ac:dyDescent="0.2">
      <c r="M4794"/>
      <c r="N4794"/>
      <c r="O4794"/>
      <c r="P4794"/>
      <c r="Q4794"/>
    </row>
    <row r="4795" spans="1:43" ht="16.5" x14ac:dyDescent="0.25">
      <c r="A4795" s="29" t="str">
        <f>CONCATENATE("Раздел: ",IF([1]Source!G6152&lt;&gt;"Новый раздел", [1]Source!G6152, ""))</f>
        <v>Раздел: Китайгородский проезд</v>
      </c>
      <c r="B4795" s="29"/>
      <c r="C4795" s="29"/>
      <c r="D4795" s="29"/>
      <c r="E4795" s="29"/>
      <c r="F4795" s="29"/>
      <c r="G4795" s="29"/>
      <c r="H4795" s="29"/>
      <c r="I4795" s="29"/>
      <c r="J4795" s="29"/>
      <c r="K4795" s="29"/>
      <c r="M4795"/>
      <c r="N4795"/>
      <c r="O4795"/>
      <c r="P4795"/>
      <c r="Q4795"/>
    </row>
    <row r="4796" spans="1:43" x14ac:dyDescent="0.2">
      <c r="M4796"/>
      <c r="N4796"/>
      <c r="O4796"/>
      <c r="P4796"/>
      <c r="Q4796"/>
    </row>
    <row r="4797" spans="1:43" ht="16.5" x14ac:dyDescent="0.25">
      <c r="A4797" s="29" t="str">
        <f>CONCATENATE("Подраздел: ",IF([1]Source!G6156&lt;&gt;"Новый подраздел", [1]Source!G6156, ""))</f>
        <v>Подраздел: Содержание покрытий( S=573,66м2)</v>
      </c>
      <c r="B4797" s="29"/>
      <c r="C4797" s="29"/>
      <c r="D4797" s="29"/>
      <c r="E4797" s="29"/>
      <c r="F4797" s="29"/>
      <c r="G4797" s="29"/>
      <c r="H4797" s="29"/>
      <c r="I4797" s="29"/>
      <c r="J4797" s="29"/>
      <c r="K4797" s="29"/>
      <c r="M4797"/>
      <c r="N4797"/>
      <c r="O4797"/>
      <c r="P4797"/>
      <c r="Q4797"/>
    </row>
    <row r="4798" spans="1:43" ht="28.5" x14ac:dyDescent="0.2">
      <c r="A4798" s="31">
        <v>585</v>
      </c>
      <c r="B4798" s="31" t="str">
        <f>[1]Source!F6160</f>
        <v>5.3-1101-13-1/1</v>
      </c>
      <c r="C4798" s="31" t="str">
        <f>[1]Source!G6160</f>
        <v>Подметание вручную дорожек и площадок с твердым покрытием</v>
      </c>
      <c r="D4798" s="32" t="str">
        <f>[1]Source!H6160</f>
        <v>100 м2</v>
      </c>
      <c r="E4798" s="4">
        <f>[1]Source!I6160</f>
        <v>5.7366000000000001</v>
      </c>
      <c r="F4798" s="33"/>
      <c r="G4798" s="34"/>
      <c r="H4798" s="4"/>
      <c r="I4798" s="4"/>
      <c r="J4798" s="33"/>
      <c r="K4798" s="33"/>
      <c r="M4798"/>
      <c r="N4798"/>
      <c r="O4798"/>
      <c r="P4798"/>
      <c r="Q4798"/>
      <c r="AB4798">
        <f>ROUND(([1]Source!BZ6160/100)*ROUND(([1]Source!AF6160*[1]Source!AV6160)*[1]Source!I6160, 2), 2)</f>
        <v>166422.31</v>
      </c>
      <c r="AC4798">
        <f>[1]Source!X6160</f>
        <v>166422.31</v>
      </c>
      <c r="AD4798">
        <f>ROUND(([1]Source!CA6160/100)*ROUND(([1]Source!AF6160*[1]Source!AV6160)*[1]Source!I6160, 2), 2)</f>
        <v>23774.62</v>
      </c>
      <c r="AE4798">
        <f>[1]Source!Y6160</f>
        <v>23774.62</v>
      </c>
      <c r="AF4798">
        <f>ROUND((175/100)*ROUND(([1]Source!AE6160*[1]Source!AV6160)*[1]Source!I6160, 2), 2)</f>
        <v>0</v>
      </c>
      <c r="AG4798">
        <f>ROUND((108/100)*ROUND([1]Source!CS6160*[1]Source!I6160, 2), 2)</f>
        <v>0</v>
      </c>
    </row>
    <row r="4799" spans="1:43" x14ac:dyDescent="0.2">
      <c r="C4799" s="40" t="str">
        <f>"Объем: "&amp;[1]Source!I6160&amp;"=573,66/"&amp;"100"</f>
        <v>Объем: 5,7366=573,66/100</v>
      </c>
      <c r="M4799"/>
      <c r="N4799"/>
      <c r="O4799"/>
      <c r="P4799"/>
      <c r="Q4799"/>
    </row>
    <row r="4800" spans="1:43" ht="14.25" x14ac:dyDescent="0.2">
      <c r="A4800" s="31"/>
      <c r="B4800" s="31"/>
      <c r="C4800" s="31" t="s">
        <v>34</v>
      </c>
      <c r="D4800" s="32"/>
      <c r="E4800" s="4"/>
      <c r="F4800" s="33">
        <f>[1]Source!AO6160</f>
        <v>34.71</v>
      </c>
      <c r="G4800" s="34" t="str">
        <f>[1]Source!DG6160</f>
        <v>)*3*398</v>
      </c>
      <c r="H4800" s="4">
        <f>[1]Source!AV6160</f>
        <v>1</v>
      </c>
      <c r="I4800" s="4">
        <f>IF([1]Source!BA6160&lt;&gt; 0, [1]Source!BA6160, 1)</f>
        <v>1</v>
      </c>
      <c r="J4800" s="33">
        <f>[1]Source!S6160</f>
        <v>237746.16</v>
      </c>
      <c r="K4800" s="33"/>
      <c r="M4800"/>
      <c r="N4800"/>
      <c r="O4800"/>
      <c r="P4800"/>
      <c r="Q4800"/>
    </row>
    <row r="4801" spans="1:33" ht="14.25" x14ac:dyDescent="0.2">
      <c r="A4801" s="31"/>
      <c r="B4801" s="31"/>
      <c r="C4801" s="31" t="s">
        <v>40</v>
      </c>
      <c r="D4801" s="32" t="s">
        <v>39</v>
      </c>
      <c r="E4801" s="4">
        <f>[1]Source!AT6160</f>
        <v>70</v>
      </c>
      <c r="F4801" s="33"/>
      <c r="G4801" s="34"/>
      <c r="H4801" s="4"/>
      <c r="I4801" s="4"/>
      <c r="J4801" s="33">
        <f>SUM(AC4798:AC4800)</f>
        <v>166422.31</v>
      </c>
      <c r="K4801" s="33"/>
      <c r="M4801"/>
      <c r="N4801"/>
      <c r="O4801"/>
      <c r="P4801"/>
      <c r="Q4801"/>
    </row>
    <row r="4802" spans="1:33" ht="14.25" x14ac:dyDescent="0.2">
      <c r="A4802" s="31"/>
      <c r="B4802" s="31"/>
      <c r="C4802" s="31" t="s">
        <v>41</v>
      </c>
      <c r="D4802" s="32" t="s">
        <v>39</v>
      </c>
      <c r="E4802" s="4">
        <f>[1]Source!AU6160</f>
        <v>10</v>
      </c>
      <c r="F4802" s="33"/>
      <c r="G4802" s="34"/>
      <c r="H4802" s="4"/>
      <c r="I4802" s="4"/>
      <c r="J4802" s="33">
        <f>SUM(AE4798:AE4801)</f>
        <v>23774.62</v>
      </c>
      <c r="K4802" s="33"/>
      <c r="M4802"/>
      <c r="N4802"/>
      <c r="O4802"/>
      <c r="P4802"/>
      <c r="Q4802"/>
    </row>
    <row r="4803" spans="1:33" ht="14.25" x14ac:dyDescent="0.2">
      <c r="A4803" s="31"/>
      <c r="B4803" s="31"/>
      <c r="C4803" s="31" t="s">
        <v>42</v>
      </c>
      <c r="D4803" s="32" t="s">
        <v>43</v>
      </c>
      <c r="E4803" s="4">
        <f>[1]Source!AQ6160</f>
        <v>0.14000000000000001</v>
      </c>
      <c r="F4803" s="33"/>
      <c r="G4803" s="34" t="str">
        <f>[1]Source!DI6160</f>
        <v>)*3*398</v>
      </c>
      <c r="H4803" s="4">
        <f>[1]Source!AV6160</f>
        <v>1</v>
      </c>
      <c r="I4803" s="4"/>
      <c r="J4803" s="33"/>
      <c r="K4803" s="33">
        <f>[1]Source!U6160</f>
        <v>958.93005600000015</v>
      </c>
      <c r="M4803"/>
      <c r="N4803"/>
      <c r="O4803"/>
      <c r="P4803"/>
      <c r="Q4803"/>
    </row>
    <row r="4804" spans="1:33" ht="15" x14ac:dyDescent="0.25">
      <c r="A4804" s="35"/>
      <c r="B4804" s="35"/>
      <c r="C4804" s="35"/>
      <c r="D4804" s="35"/>
      <c r="E4804" s="35"/>
      <c r="F4804" s="35"/>
      <c r="G4804" s="35"/>
      <c r="H4804" s="35"/>
      <c r="I4804" s="36">
        <f>J4800+J4801+J4802</f>
        <v>427943.08999999997</v>
      </c>
      <c r="J4804" s="36"/>
      <c r="K4804" s="37">
        <f>IF([1]Source!I6160&lt;&gt;0, ROUND(I4804/[1]Source!I6160, 2), 0)</f>
        <v>74598.73</v>
      </c>
      <c r="M4804"/>
      <c r="N4804"/>
      <c r="O4804"/>
      <c r="P4804"/>
      <c r="Q4804"/>
      <c r="AA4804" s="38">
        <f>I4804</f>
        <v>427943.08999999997</v>
      </c>
    </row>
    <row r="4805" spans="1:33" ht="57" x14ac:dyDescent="0.2">
      <c r="A4805" s="31">
        <v>586</v>
      </c>
      <c r="B4805" s="31" t="str">
        <f>[1]Source!F6161</f>
        <v>5.3-1101-13-1/1</v>
      </c>
      <c r="C4805" s="31" t="str">
        <f>[1]Source!G6161</f>
        <v>Подметание вручную дорожек и площадок с твердым покрытием (  дополнительное подметание покрытий в осенний период)</v>
      </c>
      <c r="D4805" s="32" t="str">
        <f>[1]Source!H6161</f>
        <v>100 м2</v>
      </c>
      <c r="E4805" s="4">
        <f>[1]Source!I6161</f>
        <v>5.7366000000000001</v>
      </c>
      <c r="F4805" s="33"/>
      <c r="G4805" s="34"/>
      <c r="H4805" s="4"/>
      <c r="I4805" s="4"/>
      <c r="J4805" s="33"/>
      <c r="K4805" s="33"/>
      <c r="M4805"/>
      <c r="N4805"/>
      <c r="O4805"/>
      <c r="P4805"/>
      <c r="Q4805"/>
      <c r="AB4805">
        <f>ROUND(([1]Source!BZ6161/100)*ROUND(([1]Source!AF6161*[1]Source!AV6161)*[1]Source!I6161, 2), 2)</f>
        <v>8362.93</v>
      </c>
      <c r="AC4805">
        <f>[1]Source!X6161</f>
        <v>8362.93</v>
      </c>
      <c r="AD4805">
        <f>ROUND(([1]Source!CA6161/100)*ROUND(([1]Source!AF6161*[1]Source!AV6161)*[1]Source!I6161, 2), 2)</f>
        <v>1194.7</v>
      </c>
      <c r="AE4805">
        <f>[1]Source!Y6161</f>
        <v>1194.7</v>
      </c>
      <c r="AF4805">
        <f>ROUND((175/100)*ROUND(([1]Source!AE6161*[1]Source!AV6161)*[1]Source!I6161, 2), 2)</f>
        <v>0</v>
      </c>
      <c r="AG4805">
        <f>ROUND((108/100)*ROUND([1]Source!CS6161*[1]Source!I6161, 2), 2)</f>
        <v>0</v>
      </c>
    </row>
    <row r="4806" spans="1:33" x14ac:dyDescent="0.2">
      <c r="C4806" s="40" t="str">
        <f>"Объем: "&amp;[1]Source!I6161&amp;"=573,66/"&amp;"100"</f>
        <v>Объем: 5,7366=573,66/100</v>
      </c>
      <c r="M4806"/>
      <c r="N4806"/>
      <c r="O4806"/>
      <c r="P4806"/>
      <c r="Q4806"/>
    </row>
    <row r="4807" spans="1:33" ht="14.25" x14ac:dyDescent="0.2">
      <c r="A4807" s="31"/>
      <c r="B4807" s="31"/>
      <c r="C4807" s="31" t="s">
        <v>34</v>
      </c>
      <c r="D4807" s="32"/>
      <c r="E4807" s="4"/>
      <c r="F4807" s="33">
        <f>[1]Source!AO6161</f>
        <v>34.71</v>
      </c>
      <c r="G4807" s="34" t="str">
        <f>[1]Source!DG6161</f>
        <v>)*1*60</v>
      </c>
      <c r="H4807" s="4">
        <f>[1]Source!AV6161</f>
        <v>1</v>
      </c>
      <c r="I4807" s="4">
        <f>IF([1]Source!BA6161&lt;&gt; 0, [1]Source!BA6161, 1)</f>
        <v>1</v>
      </c>
      <c r="J4807" s="33">
        <f>[1]Source!S6161</f>
        <v>11947.04</v>
      </c>
      <c r="K4807" s="33"/>
      <c r="M4807"/>
      <c r="N4807"/>
      <c r="O4807"/>
      <c r="P4807"/>
      <c r="Q4807"/>
    </row>
    <row r="4808" spans="1:33" ht="14.25" x14ac:dyDescent="0.2">
      <c r="A4808" s="31"/>
      <c r="B4808" s="31"/>
      <c r="C4808" s="31" t="s">
        <v>40</v>
      </c>
      <c r="D4808" s="32" t="s">
        <v>39</v>
      </c>
      <c r="E4808" s="4">
        <f>[1]Source!AT6161</f>
        <v>70</v>
      </c>
      <c r="F4808" s="33"/>
      <c r="G4808" s="34"/>
      <c r="H4808" s="4"/>
      <c r="I4808" s="4"/>
      <c r="J4808" s="33">
        <f>SUM(AC4805:AC4807)</f>
        <v>8362.93</v>
      </c>
      <c r="K4808" s="33"/>
      <c r="M4808"/>
      <c r="N4808"/>
      <c r="O4808"/>
      <c r="P4808"/>
      <c r="Q4808"/>
    </row>
    <row r="4809" spans="1:33" ht="14.25" x14ac:dyDescent="0.2">
      <c r="A4809" s="31"/>
      <c r="B4809" s="31"/>
      <c r="C4809" s="31" t="s">
        <v>41</v>
      </c>
      <c r="D4809" s="32" t="s">
        <v>39</v>
      </c>
      <c r="E4809" s="4">
        <f>[1]Source!AU6161</f>
        <v>10</v>
      </c>
      <c r="F4809" s="33"/>
      <c r="G4809" s="34"/>
      <c r="H4809" s="4"/>
      <c r="I4809" s="4"/>
      <c r="J4809" s="33">
        <f>SUM(AE4805:AE4808)</f>
        <v>1194.7</v>
      </c>
      <c r="K4809" s="33"/>
      <c r="M4809"/>
      <c r="N4809"/>
      <c r="O4809"/>
      <c r="P4809"/>
      <c r="Q4809"/>
    </row>
    <row r="4810" spans="1:33" ht="14.25" x14ac:dyDescent="0.2">
      <c r="A4810" s="31"/>
      <c r="B4810" s="31"/>
      <c r="C4810" s="31" t="s">
        <v>42</v>
      </c>
      <c r="D4810" s="32" t="s">
        <v>43</v>
      </c>
      <c r="E4810" s="4">
        <f>[1]Source!AQ6161</f>
        <v>0.14000000000000001</v>
      </c>
      <c r="F4810" s="33"/>
      <c r="G4810" s="34" t="str">
        <f>[1]Source!DI6161</f>
        <v>)*1*60</v>
      </c>
      <c r="H4810" s="4">
        <f>[1]Source!AV6161</f>
        <v>1</v>
      </c>
      <c r="I4810" s="4"/>
      <c r="J4810" s="33"/>
      <c r="K4810" s="33">
        <f>[1]Source!U6161</f>
        <v>48.187440000000002</v>
      </c>
      <c r="M4810"/>
      <c r="N4810"/>
      <c r="O4810"/>
      <c r="P4810"/>
      <c r="Q4810"/>
    </row>
    <row r="4811" spans="1:33" ht="15" x14ac:dyDescent="0.25">
      <c r="A4811" s="35"/>
      <c r="B4811" s="35"/>
      <c r="C4811" s="35"/>
      <c r="D4811" s="35"/>
      <c r="E4811" s="35"/>
      <c r="F4811" s="35"/>
      <c r="G4811" s="35"/>
      <c r="H4811" s="35"/>
      <c r="I4811" s="36">
        <f>J4807+J4808+J4809</f>
        <v>21504.670000000002</v>
      </c>
      <c r="J4811" s="36"/>
      <c r="K4811" s="37">
        <f>IF([1]Source!I6161&lt;&gt;0, ROUND(I4811/[1]Source!I6161, 2), 0)</f>
        <v>3748.68</v>
      </c>
      <c r="M4811"/>
      <c r="N4811"/>
      <c r="O4811"/>
      <c r="P4811"/>
      <c r="Q4811"/>
      <c r="AA4811" s="38">
        <f>I4811</f>
        <v>21504.670000000002</v>
      </c>
    </row>
    <row r="4812" spans="1:33" ht="14.25" x14ac:dyDescent="0.2">
      <c r="A4812" s="31">
        <v>587</v>
      </c>
      <c r="B4812" s="31" t="str">
        <f>[1]Source!F6162</f>
        <v>5.3-1101-14-1/1</v>
      </c>
      <c r="C4812" s="31" t="str">
        <f>[1]Source!G6162</f>
        <v>Полив дорожек из шланга вручную</v>
      </c>
      <c r="D4812" s="32" t="str">
        <f>[1]Source!H6162</f>
        <v>100 м2</v>
      </c>
      <c r="E4812" s="4">
        <f>[1]Source!I6162</f>
        <v>5.7366000000000001</v>
      </c>
      <c r="F4812" s="33"/>
      <c r="G4812" s="34"/>
      <c r="H4812" s="4"/>
      <c r="I4812" s="4"/>
      <c r="J4812" s="33"/>
      <c r="K4812" s="33"/>
      <c r="M4812"/>
      <c r="N4812"/>
      <c r="O4812"/>
      <c r="P4812"/>
      <c r="Q4812"/>
      <c r="AB4812">
        <f>ROUND(([1]Source!BZ6162/100)*ROUND(([1]Source!AF6162*[1]Source!AV6162)*[1]Source!I6162, 2), 2)</f>
        <v>23296.22</v>
      </c>
      <c r="AC4812">
        <f>[1]Source!X6162</f>
        <v>23296.22</v>
      </c>
      <c r="AD4812">
        <f>ROUND(([1]Source!CA6162/100)*ROUND(([1]Source!AF6162*[1]Source!AV6162)*[1]Source!I6162, 2), 2)</f>
        <v>3328.03</v>
      </c>
      <c r="AE4812">
        <f>[1]Source!Y6162</f>
        <v>3328.03</v>
      </c>
      <c r="AF4812">
        <f>ROUND((175/100)*ROUND(([1]Source!AE6162*[1]Source!AV6162)*[1]Source!I6162, 2), 2)</f>
        <v>0</v>
      </c>
      <c r="AG4812">
        <f>ROUND((108/100)*ROUND([1]Source!CS6162*[1]Source!I6162, 2), 2)</f>
        <v>0</v>
      </c>
    </row>
    <row r="4813" spans="1:33" x14ac:dyDescent="0.2">
      <c r="C4813" s="40" t="str">
        <f>"Объем: "&amp;[1]Source!I6162&amp;"=573,66/"&amp;"100"</f>
        <v>Объем: 5,7366=573,66/100</v>
      </c>
      <c r="M4813"/>
      <c r="N4813"/>
      <c r="O4813"/>
      <c r="P4813"/>
      <c r="Q4813"/>
    </row>
    <row r="4814" spans="1:33" ht="14.25" x14ac:dyDescent="0.2">
      <c r="A4814" s="31"/>
      <c r="B4814" s="31"/>
      <c r="C4814" s="31" t="s">
        <v>34</v>
      </c>
      <c r="D4814" s="32"/>
      <c r="E4814" s="4"/>
      <c r="F4814" s="33">
        <f>[1]Source!AO6162</f>
        <v>32.229999999999997</v>
      </c>
      <c r="G4814" s="34" t="str">
        <f>[1]Source!DG6162</f>
        <v>)*2*90</v>
      </c>
      <c r="H4814" s="4">
        <f>[1]Source!AV6162</f>
        <v>1</v>
      </c>
      <c r="I4814" s="4">
        <f>IF([1]Source!BA6162&lt;&gt; 0, [1]Source!BA6162, 1)</f>
        <v>1</v>
      </c>
      <c r="J4814" s="33">
        <f>[1]Source!S6162</f>
        <v>33280.31</v>
      </c>
      <c r="K4814" s="33"/>
      <c r="M4814"/>
      <c r="N4814"/>
      <c r="O4814"/>
      <c r="P4814"/>
      <c r="Q4814"/>
    </row>
    <row r="4815" spans="1:33" ht="14.25" x14ac:dyDescent="0.2">
      <c r="A4815" s="31"/>
      <c r="B4815" s="31"/>
      <c r="C4815" s="31" t="s">
        <v>47</v>
      </c>
      <c r="D4815" s="32"/>
      <c r="E4815" s="4"/>
      <c r="F4815" s="33">
        <f>[1]Source!AL6162</f>
        <v>4.24</v>
      </c>
      <c r="G4815" s="34" t="str">
        <f>[1]Source!DD6162</f>
        <v>)*2*90</v>
      </c>
      <c r="H4815" s="4">
        <f>[1]Source!AW6162</f>
        <v>1</v>
      </c>
      <c r="I4815" s="4">
        <f>IF([1]Source!BC6162&lt;&gt; 0, [1]Source!BC6162, 1)</f>
        <v>1</v>
      </c>
      <c r="J4815" s="33">
        <f>[1]Source!P6162</f>
        <v>4378.17</v>
      </c>
      <c r="K4815" s="33"/>
      <c r="M4815"/>
      <c r="N4815"/>
      <c r="O4815"/>
      <c r="P4815"/>
      <c r="Q4815"/>
    </row>
    <row r="4816" spans="1:33" ht="14.25" x14ac:dyDescent="0.2">
      <c r="A4816" s="31" t="s">
        <v>211</v>
      </c>
      <c r="B4816" s="31" t="str">
        <f>[1]Source!F6163</f>
        <v>21.1-25-13</v>
      </c>
      <c r="C4816" s="31" t="str">
        <f>[1]Source!G6163</f>
        <v>Вода</v>
      </c>
      <c r="D4816" s="32" t="str">
        <f>[1]Source!H6163</f>
        <v>м3</v>
      </c>
      <c r="E4816" s="4">
        <f>[1]Source!I6163</f>
        <v>-103.25880000000001</v>
      </c>
      <c r="F4816" s="33">
        <f>[1]Source!AK6163</f>
        <v>42.44</v>
      </c>
      <c r="G4816" s="39" t="s">
        <v>104</v>
      </c>
      <c r="H4816" s="4">
        <f>[1]Source!AW6163</f>
        <v>1</v>
      </c>
      <c r="I4816" s="4">
        <f>IF([1]Source!BC6163&lt;&gt; 0, [1]Source!BC6163, 1)</f>
        <v>1</v>
      </c>
      <c r="J4816" s="33">
        <f>[1]Source!O6163</f>
        <v>-4382.3</v>
      </c>
      <c r="K4816" s="33"/>
      <c r="M4816"/>
      <c r="N4816"/>
      <c r="O4816"/>
      <c r="P4816"/>
      <c r="Q4816"/>
      <c r="AB4816">
        <f>ROUND(([1]Source!BZ6163/100)*ROUND(([1]Source!AF6163*[1]Source!AV6163)*[1]Source!I6163, 2), 2)</f>
        <v>0</v>
      </c>
      <c r="AC4816">
        <f>[1]Source!X6163</f>
        <v>0</v>
      </c>
      <c r="AD4816">
        <f>ROUND(([1]Source!CA6163/100)*ROUND(([1]Source!AF6163*[1]Source!AV6163)*[1]Source!I6163, 2), 2)</f>
        <v>0</v>
      </c>
      <c r="AE4816">
        <f>[1]Source!Y6163</f>
        <v>0</v>
      </c>
      <c r="AF4816">
        <f>ROUND((175/100)*ROUND(([1]Source!AE6163*[1]Source!AV6163)*[1]Source!I6163, 2), 2)</f>
        <v>0</v>
      </c>
      <c r="AG4816">
        <f>ROUND((108/100)*ROUND([1]Source!CS6163*[1]Source!I6163, 2), 2)</f>
        <v>0</v>
      </c>
    </row>
    <row r="4817" spans="1:33" ht="14.25" x14ac:dyDescent="0.2">
      <c r="A4817" s="31"/>
      <c r="B4817" s="31"/>
      <c r="C4817" s="31" t="s">
        <v>40</v>
      </c>
      <c r="D4817" s="32" t="s">
        <v>39</v>
      </c>
      <c r="E4817" s="4">
        <f>[1]Source!AT6162</f>
        <v>70</v>
      </c>
      <c r="F4817" s="33"/>
      <c r="G4817" s="34"/>
      <c r="H4817" s="4"/>
      <c r="I4817" s="4"/>
      <c r="J4817" s="33">
        <f>SUM(AC4812:AC4816)</f>
        <v>23296.22</v>
      </c>
      <c r="K4817" s="33"/>
      <c r="M4817"/>
      <c r="N4817"/>
      <c r="O4817"/>
      <c r="P4817"/>
      <c r="Q4817"/>
    </row>
    <row r="4818" spans="1:33" ht="14.25" x14ac:dyDescent="0.2">
      <c r="A4818" s="31"/>
      <c r="B4818" s="31"/>
      <c r="C4818" s="31" t="s">
        <v>41</v>
      </c>
      <c r="D4818" s="32" t="s">
        <v>39</v>
      </c>
      <c r="E4818" s="4">
        <f>[1]Source!AU6162</f>
        <v>10</v>
      </c>
      <c r="F4818" s="33"/>
      <c r="G4818" s="34"/>
      <c r="H4818" s="4"/>
      <c r="I4818" s="4"/>
      <c r="J4818" s="33">
        <f>SUM(AE4812:AE4817)</f>
        <v>3328.03</v>
      </c>
      <c r="K4818" s="33"/>
      <c r="M4818"/>
      <c r="N4818"/>
      <c r="O4818"/>
      <c r="P4818"/>
      <c r="Q4818"/>
    </row>
    <row r="4819" spans="1:33" ht="14.25" x14ac:dyDescent="0.2">
      <c r="A4819" s="31"/>
      <c r="B4819" s="31"/>
      <c r="C4819" s="31" t="s">
        <v>42</v>
      </c>
      <c r="D4819" s="32" t="s">
        <v>43</v>
      </c>
      <c r="E4819" s="4">
        <f>[1]Source!AQ6162</f>
        <v>0.13</v>
      </c>
      <c r="F4819" s="33"/>
      <c r="G4819" s="34" t="str">
        <f>[1]Source!DI6162</f>
        <v>)*2*90</v>
      </c>
      <c r="H4819" s="4">
        <f>[1]Source!AV6162</f>
        <v>1</v>
      </c>
      <c r="I4819" s="4"/>
      <c r="J4819" s="33"/>
      <c r="K4819" s="33">
        <f>[1]Source!U6162</f>
        <v>134.23644000000002</v>
      </c>
      <c r="M4819"/>
      <c r="N4819"/>
      <c r="O4819"/>
      <c r="P4819"/>
      <c r="Q4819"/>
    </row>
    <row r="4820" spans="1:33" ht="15" x14ac:dyDescent="0.25">
      <c r="A4820" s="35"/>
      <c r="B4820" s="35"/>
      <c r="C4820" s="35"/>
      <c r="D4820" s="35"/>
      <c r="E4820" s="35"/>
      <c r="F4820" s="35"/>
      <c r="G4820" s="35"/>
      <c r="H4820" s="35"/>
      <c r="I4820" s="36">
        <f>J4814+J4815+J4817+J4818+SUM(J4816:J4816)</f>
        <v>59900.429999999993</v>
      </c>
      <c r="J4820" s="36"/>
      <c r="K4820" s="37">
        <f>IF([1]Source!I6162&lt;&gt;0, ROUND(I4820/[1]Source!I6162, 2), 0)</f>
        <v>10441.799999999999</v>
      </c>
      <c r="M4820"/>
      <c r="N4820"/>
      <c r="O4820"/>
      <c r="P4820"/>
      <c r="Q4820"/>
      <c r="AA4820" s="38">
        <f>I4820</f>
        <v>59900.429999999993</v>
      </c>
    </row>
    <row r="4821" spans="1:33" x14ac:dyDescent="0.2">
      <c r="M4821"/>
      <c r="N4821"/>
      <c r="O4821"/>
      <c r="P4821"/>
      <c r="Q4821"/>
    </row>
    <row r="4822" spans="1:33" ht="15" x14ac:dyDescent="0.25">
      <c r="A4822" s="42" t="str">
        <f>CONCATENATE("Итого по подразделу: ",IF([1]Source!G6165&lt;&gt;"Новый подраздел", [1]Source!G6165, ""))</f>
        <v>Итого по подразделу: Содержание покрытий( S=573,66м2)</v>
      </c>
      <c r="B4822" s="42"/>
      <c r="C4822" s="42"/>
      <c r="D4822" s="42"/>
      <c r="E4822" s="42"/>
      <c r="F4822" s="42"/>
      <c r="G4822" s="42"/>
      <c r="H4822" s="42"/>
      <c r="I4822" s="43">
        <f>SUM(AA4797:AA4821)</f>
        <v>509348.18999999994</v>
      </c>
      <c r="J4822" s="44"/>
      <c r="K4822" s="47"/>
      <c r="L4822" s="38">
        <f>I4822</f>
        <v>509348.18999999994</v>
      </c>
      <c r="M4822" s="2">
        <f>ROUND(I4822*$I$4874,2)</f>
        <v>367854.75</v>
      </c>
      <c r="N4822" s="2">
        <f>ROUND(M4822*1.2/105*100,2)</f>
        <v>420405.43</v>
      </c>
      <c r="O4822" s="2">
        <f>ROUND(N4822*0.05,2)</f>
        <v>21020.27</v>
      </c>
      <c r="P4822" s="2">
        <f>N4822+O4822</f>
        <v>441425.7</v>
      </c>
      <c r="Q4822" s="3">
        <v>128</v>
      </c>
      <c r="S4822" s="2">
        <v>0</v>
      </c>
    </row>
    <row r="4823" spans="1:33" x14ac:dyDescent="0.2">
      <c r="M4823"/>
      <c r="N4823"/>
      <c r="O4823"/>
      <c r="P4823"/>
      <c r="Q4823"/>
    </row>
    <row r="4824" spans="1:33" x14ac:dyDescent="0.2">
      <c r="M4824"/>
      <c r="N4824"/>
      <c r="O4824"/>
      <c r="P4824"/>
      <c r="Q4824"/>
    </row>
    <row r="4825" spans="1:33" ht="16.5" x14ac:dyDescent="0.25">
      <c r="A4825" s="29" t="str">
        <f>CONCATENATE("Подраздел: ",IF([1]Source!G6195&lt;&gt;"Новый подраздел", [1]Source!G6195, ""))</f>
        <v>Подраздел: Уход за бортовыми камнями</v>
      </c>
      <c r="B4825" s="29"/>
      <c r="C4825" s="29"/>
      <c r="D4825" s="29"/>
      <c r="E4825" s="29"/>
      <c r="F4825" s="29"/>
      <c r="G4825" s="29"/>
      <c r="H4825" s="29"/>
      <c r="I4825" s="29"/>
      <c r="J4825" s="29"/>
      <c r="K4825" s="29"/>
      <c r="M4825"/>
      <c r="N4825"/>
      <c r="O4825"/>
      <c r="P4825"/>
      <c r="Q4825"/>
    </row>
    <row r="4826" spans="1:33" ht="42.75" x14ac:dyDescent="0.2">
      <c r="A4826" s="31">
        <v>588</v>
      </c>
      <c r="B4826" s="31" t="str">
        <f>[1]Source!F6199</f>
        <v>5.3-1101-13-1/1</v>
      </c>
      <c r="C4826" s="31" t="str">
        <f>[1]Source!G6199</f>
        <v>Подметание вручную дорожек и площадок с твердым покрытием ( очистка бортовых камней )</v>
      </c>
      <c r="D4826" s="32" t="str">
        <f>[1]Source!H6199</f>
        <v>100 м2</v>
      </c>
      <c r="E4826" s="4">
        <f>[1]Source!I6199</f>
        <v>0.28820000000000001</v>
      </c>
      <c r="F4826" s="33"/>
      <c r="G4826" s="34"/>
      <c r="H4826" s="4"/>
      <c r="I4826" s="4"/>
      <c r="J4826" s="33"/>
      <c r="K4826" s="33"/>
      <c r="M4826"/>
      <c r="N4826"/>
      <c r="O4826"/>
      <c r="P4826"/>
      <c r="Q4826"/>
      <c r="AB4826">
        <f>ROUND(([1]Source!BZ6199/100)*ROUND(([1]Source!AF6199*[1]Source!AV6199)*[1]Source!I6199, 2), 2)</f>
        <v>5573.9</v>
      </c>
      <c r="AC4826">
        <f>[1]Source!X6199</f>
        <v>5573.9</v>
      </c>
      <c r="AD4826">
        <f>ROUND(([1]Source!CA6199/100)*ROUND(([1]Source!AF6199*[1]Source!AV6199)*[1]Source!I6199, 2), 2)</f>
        <v>796.27</v>
      </c>
      <c r="AE4826">
        <f>[1]Source!Y6199</f>
        <v>796.27</v>
      </c>
      <c r="AF4826">
        <f>ROUND((175/100)*ROUND(([1]Source!AE6199*[1]Source!AV6199)*[1]Source!I6199, 2), 2)</f>
        <v>0</v>
      </c>
      <c r="AG4826">
        <f>ROUND((108/100)*ROUND([1]Source!CS6199*[1]Source!I6199, 2), 2)</f>
        <v>0</v>
      </c>
    </row>
    <row r="4827" spans="1:33" x14ac:dyDescent="0.2">
      <c r="C4827" s="40" t="str">
        <f>"Объем: "&amp;[1]Source!I6199&amp;"=28,82/"&amp;"100"</f>
        <v>Объем: 0,2882=28,82/100</v>
      </c>
      <c r="M4827"/>
      <c r="N4827"/>
      <c r="O4827"/>
      <c r="P4827"/>
      <c r="Q4827"/>
    </row>
    <row r="4828" spans="1:33" ht="14.25" x14ac:dyDescent="0.2">
      <c r="A4828" s="31"/>
      <c r="B4828" s="31"/>
      <c r="C4828" s="31" t="s">
        <v>34</v>
      </c>
      <c r="D4828" s="32"/>
      <c r="E4828" s="4"/>
      <c r="F4828" s="33">
        <f>[1]Source!AO6199</f>
        <v>34.71</v>
      </c>
      <c r="G4828" s="34" t="str">
        <f>[1]Source!DG6199</f>
        <v>)*2*398</v>
      </c>
      <c r="H4828" s="4">
        <f>[1]Source!AV6199</f>
        <v>1</v>
      </c>
      <c r="I4828" s="4">
        <f>IF([1]Source!BA6199&lt;&gt; 0, [1]Source!BA6199, 1)</f>
        <v>1</v>
      </c>
      <c r="J4828" s="33">
        <f>[1]Source!S6199</f>
        <v>7962.72</v>
      </c>
      <c r="K4828" s="33"/>
      <c r="M4828"/>
      <c r="N4828"/>
      <c r="O4828"/>
      <c r="P4828"/>
      <c r="Q4828"/>
    </row>
    <row r="4829" spans="1:33" ht="14.25" x14ac:dyDescent="0.2">
      <c r="A4829" s="31"/>
      <c r="B4829" s="31"/>
      <c r="C4829" s="31" t="s">
        <v>40</v>
      </c>
      <c r="D4829" s="32" t="s">
        <v>39</v>
      </c>
      <c r="E4829" s="4">
        <f>[1]Source!AT6199</f>
        <v>70</v>
      </c>
      <c r="F4829" s="33"/>
      <c r="G4829" s="34"/>
      <c r="H4829" s="4"/>
      <c r="I4829" s="4"/>
      <c r="J4829" s="33">
        <f>SUM(AC4826:AC4828)</f>
        <v>5573.9</v>
      </c>
      <c r="K4829" s="33"/>
      <c r="M4829"/>
      <c r="N4829"/>
      <c r="O4829"/>
      <c r="P4829"/>
      <c r="Q4829"/>
    </row>
    <row r="4830" spans="1:33" ht="14.25" x14ac:dyDescent="0.2">
      <c r="A4830" s="31"/>
      <c r="B4830" s="31"/>
      <c r="C4830" s="31" t="s">
        <v>41</v>
      </c>
      <c r="D4830" s="32" t="s">
        <v>39</v>
      </c>
      <c r="E4830" s="4">
        <f>[1]Source!AU6199</f>
        <v>10</v>
      </c>
      <c r="F4830" s="33"/>
      <c r="G4830" s="34"/>
      <c r="H4830" s="4"/>
      <c r="I4830" s="4"/>
      <c r="J4830" s="33">
        <f>SUM(AE4826:AE4829)</f>
        <v>796.27</v>
      </c>
      <c r="K4830" s="33"/>
      <c r="M4830"/>
      <c r="N4830"/>
      <c r="O4830"/>
      <c r="P4830"/>
      <c r="Q4830"/>
    </row>
    <row r="4831" spans="1:33" ht="14.25" x14ac:dyDescent="0.2">
      <c r="A4831" s="31"/>
      <c r="B4831" s="31"/>
      <c r="C4831" s="31" t="s">
        <v>42</v>
      </c>
      <c r="D4831" s="32" t="s">
        <v>43</v>
      </c>
      <c r="E4831" s="4">
        <f>[1]Source!AQ6199</f>
        <v>0.14000000000000001</v>
      </c>
      <c r="F4831" s="33"/>
      <c r="G4831" s="34" t="str">
        <f>[1]Source!DI6199</f>
        <v>)*2*398</v>
      </c>
      <c r="H4831" s="4">
        <f>[1]Source!AV6199</f>
        <v>1</v>
      </c>
      <c r="I4831" s="4"/>
      <c r="J4831" s="33"/>
      <c r="K4831" s="33">
        <f>[1]Source!U6199</f>
        <v>32.117008000000006</v>
      </c>
      <c r="M4831"/>
      <c r="N4831"/>
      <c r="O4831"/>
      <c r="P4831"/>
      <c r="Q4831"/>
    </row>
    <row r="4832" spans="1:33" ht="15" x14ac:dyDescent="0.25">
      <c r="A4832" s="35"/>
      <c r="B4832" s="35"/>
      <c r="C4832" s="35"/>
      <c r="D4832" s="35"/>
      <c r="E4832" s="35"/>
      <c r="F4832" s="35"/>
      <c r="G4832" s="35"/>
      <c r="H4832" s="35"/>
      <c r="I4832" s="36">
        <f>J4828+J4829+J4830</f>
        <v>14332.89</v>
      </c>
      <c r="J4832" s="36"/>
      <c r="K4832" s="37">
        <f>IF([1]Source!I6199&lt;&gt;0, ROUND(I4832/[1]Source!I6199, 2), 0)</f>
        <v>49732.44</v>
      </c>
      <c r="M4832"/>
      <c r="N4832"/>
      <c r="O4832"/>
      <c r="P4832"/>
      <c r="Q4832"/>
      <c r="AA4832" s="38">
        <f>I4832</f>
        <v>14332.89</v>
      </c>
    </row>
    <row r="4833" spans="1:33" x14ac:dyDescent="0.2">
      <c r="M4833"/>
      <c r="N4833"/>
      <c r="O4833"/>
      <c r="P4833"/>
      <c r="Q4833"/>
    </row>
    <row r="4834" spans="1:33" ht="15" x14ac:dyDescent="0.25">
      <c r="A4834" s="42" t="str">
        <f>CONCATENATE("Итого по подразделу: ",IF([1]Source!G6201&lt;&gt;"Новый подраздел", [1]Source!G6201, ""))</f>
        <v>Итого по подразделу: Уход за бортовыми камнями</v>
      </c>
      <c r="B4834" s="42"/>
      <c r="C4834" s="42"/>
      <c r="D4834" s="42"/>
      <c r="E4834" s="42"/>
      <c r="F4834" s="42"/>
      <c r="G4834" s="42"/>
      <c r="H4834" s="42"/>
      <c r="I4834" s="43">
        <f>SUM(AA4825:AA4833)</f>
        <v>14332.89</v>
      </c>
      <c r="J4834" s="44"/>
      <c r="K4834" s="47"/>
      <c r="L4834" s="38">
        <f>I4834</f>
        <v>14332.89</v>
      </c>
      <c r="M4834" s="2">
        <f>ROUND(I4834*$I$4874,2)</f>
        <v>10351.31</v>
      </c>
      <c r="N4834" s="2">
        <f>ROUND(M4834*1.2/105*100,2)</f>
        <v>11830.07</v>
      </c>
      <c r="O4834" s="2">
        <f>ROUND(N4834*0.05,2)</f>
        <v>591.5</v>
      </c>
      <c r="P4834" s="2">
        <f>N4834+O4834</f>
        <v>12421.57</v>
      </c>
      <c r="Q4834" s="3">
        <v>129</v>
      </c>
      <c r="S4834" s="2">
        <v>0</v>
      </c>
    </row>
    <row r="4835" spans="1:33" x14ac:dyDescent="0.2">
      <c r="M4835"/>
      <c r="N4835"/>
      <c r="O4835"/>
      <c r="P4835"/>
      <c r="Q4835"/>
    </row>
    <row r="4836" spans="1:33" x14ac:dyDescent="0.2">
      <c r="M4836"/>
      <c r="N4836"/>
      <c r="O4836"/>
      <c r="P4836"/>
      <c r="Q4836"/>
    </row>
    <row r="4837" spans="1:33" ht="16.5" x14ac:dyDescent="0.25">
      <c r="A4837" s="29" t="str">
        <f>CONCATENATE("Подраздел: ",IF([1]Source!G6231&lt;&gt;"Новый подраздел", [1]Source!G6231, ""))</f>
        <v>Подраздел: Содержание покрытий пандусов( S=18 м2)( 12 шт.)</v>
      </c>
      <c r="B4837" s="29"/>
      <c r="C4837" s="29"/>
      <c r="D4837" s="29"/>
      <c r="E4837" s="29"/>
      <c r="F4837" s="29"/>
      <c r="G4837" s="29"/>
      <c r="H4837" s="29"/>
      <c r="I4837" s="29"/>
      <c r="J4837" s="29"/>
      <c r="K4837" s="29"/>
      <c r="M4837"/>
      <c r="N4837"/>
      <c r="O4837"/>
      <c r="P4837"/>
      <c r="Q4837"/>
    </row>
    <row r="4838" spans="1:33" ht="28.5" x14ac:dyDescent="0.2">
      <c r="A4838" s="31">
        <v>589</v>
      </c>
      <c r="B4838" s="31" t="str">
        <f>[1]Source!F6235</f>
        <v>5.3-1101-13-1/1</v>
      </c>
      <c r="C4838" s="31" t="str">
        <f>[1]Source!G6235</f>
        <v>Подметание вручную дорожек и площадок с твердым покрытием</v>
      </c>
      <c r="D4838" s="32" t="str">
        <f>[1]Source!H6235</f>
        <v>100 м2</v>
      </c>
      <c r="E4838" s="4">
        <f>[1]Source!I6235</f>
        <v>0.18</v>
      </c>
      <c r="F4838" s="33"/>
      <c r="G4838" s="34"/>
      <c r="H4838" s="4"/>
      <c r="I4838" s="4"/>
      <c r="J4838" s="33"/>
      <c r="K4838" s="33"/>
      <c r="M4838"/>
      <c r="N4838"/>
      <c r="O4838"/>
      <c r="P4838"/>
      <c r="Q4838"/>
      <c r="AB4838">
        <f>ROUND(([1]Source!BZ6235/100)*ROUND(([1]Source!AF6235*[1]Source!AV6235)*[1]Source!I6235, 2), 2)</f>
        <v>5221.91</v>
      </c>
      <c r="AC4838">
        <f>[1]Source!X6235</f>
        <v>5221.91</v>
      </c>
      <c r="AD4838">
        <f>ROUND(([1]Source!CA6235/100)*ROUND(([1]Source!AF6235*[1]Source!AV6235)*[1]Source!I6235, 2), 2)</f>
        <v>745.99</v>
      </c>
      <c r="AE4838">
        <f>[1]Source!Y6235</f>
        <v>745.99</v>
      </c>
      <c r="AF4838">
        <f>ROUND((175/100)*ROUND(([1]Source!AE6235*[1]Source!AV6235)*[1]Source!I6235, 2), 2)</f>
        <v>0</v>
      </c>
      <c r="AG4838">
        <f>ROUND((108/100)*ROUND([1]Source!CS6235*[1]Source!I6235, 2), 2)</f>
        <v>0</v>
      </c>
    </row>
    <row r="4839" spans="1:33" x14ac:dyDescent="0.2">
      <c r="C4839" s="40" t="str">
        <f>"Объем: "&amp;[1]Source!I6235&amp;"=18/"&amp;"100"</f>
        <v>Объем: 0,18=18/100</v>
      </c>
      <c r="M4839"/>
      <c r="N4839"/>
      <c r="O4839"/>
      <c r="P4839"/>
      <c r="Q4839"/>
    </row>
    <row r="4840" spans="1:33" ht="14.25" x14ac:dyDescent="0.2">
      <c r="A4840" s="31"/>
      <c r="B4840" s="31"/>
      <c r="C4840" s="31" t="s">
        <v>34</v>
      </c>
      <c r="D4840" s="32"/>
      <c r="E4840" s="4"/>
      <c r="F4840" s="33">
        <f>[1]Source!AO6235</f>
        <v>34.71</v>
      </c>
      <c r="G4840" s="34" t="str">
        <f>[1]Source!DG6235</f>
        <v>)*3*398</v>
      </c>
      <c r="H4840" s="4">
        <f>[1]Source!AV6235</f>
        <v>1</v>
      </c>
      <c r="I4840" s="4">
        <f>IF([1]Source!BA6235&lt;&gt; 0, [1]Source!BA6235, 1)</f>
        <v>1</v>
      </c>
      <c r="J4840" s="33">
        <f>[1]Source!S6235</f>
        <v>7459.87</v>
      </c>
      <c r="K4840" s="33"/>
      <c r="M4840"/>
      <c r="N4840"/>
      <c r="O4840"/>
      <c r="P4840"/>
      <c r="Q4840"/>
    </row>
    <row r="4841" spans="1:33" ht="14.25" x14ac:dyDescent="0.2">
      <c r="A4841" s="31"/>
      <c r="B4841" s="31"/>
      <c r="C4841" s="31" t="s">
        <v>40</v>
      </c>
      <c r="D4841" s="32" t="s">
        <v>39</v>
      </c>
      <c r="E4841" s="4">
        <f>[1]Source!AT6235</f>
        <v>70</v>
      </c>
      <c r="F4841" s="33"/>
      <c r="G4841" s="34"/>
      <c r="H4841" s="4"/>
      <c r="I4841" s="4"/>
      <c r="J4841" s="33">
        <f>SUM(AC4838:AC4840)</f>
        <v>5221.91</v>
      </c>
      <c r="K4841" s="33"/>
      <c r="M4841"/>
      <c r="N4841"/>
      <c r="O4841"/>
      <c r="P4841"/>
      <c r="Q4841"/>
    </row>
    <row r="4842" spans="1:33" ht="14.25" x14ac:dyDescent="0.2">
      <c r="A4842" s="31"/>
      <c r="B4842" s="31"/>
      <c r="C4842" s="31" t="s">
        <v>41</v>
      </c>
      <c r="D4842" s="32" t="s">
        <v>39</v>
      </c>
      <c r="E4842" s="4">
        <f>[1]Source!AU6235</f>
        <v>10</v>
      </c>
      <c r="F4842" s="33"/>
      <c r="G4842" s="34"/>
      <c r="H4842" s="4"/>
      <c r="I4842" s="4"/>
      <c r="J4842" s="33">
        <f>SUM(AE4838:AE4841)</f>
        <v>745.99</v>
      </c>
      <c r="K4842" s="33"/>
      <c r="M4842"/>
      <c r="N4842"/>
      <c r="O4842"/>
      <c r="P4842"/>
      <c r="Q4842"/>
    </row>
    <row r="4843" spans="1:33" ht="14.25" x14ac:dyDescent="0.2">
      <c r="A4843" s="31"/>
      <c r="B4843" s="31"/>
      <c r="C4843" s="31" t="s">
        <v>42</v>
      </c>
      <c r="D4843" s="32" t="s">
        <v>43</v>
      </c>
      <c r="E4843" s="4">
        <f>[1]Source!AQ6235</f>
        <v>0.14000000000000001</v>
      </c>
      <c r="F4843" s="33"/>
      <c r="G4843" s="34" t="str">
        <f>[1]Source!DI6235</f>
        <v>)*3*398</v>
      </c>
      <c r="H4843" s="4">
        <f>[1]Source!AV6235</f>
        <v>1</v>
      </c>
      <c r="I4843" s="4"/>
      <c r="J4843" s="33"/>
      <c r="K4843" s="33">
        <f>[1]Source!U6235</f>
        <v>30.088800000000003</v>
      </c>
      <c r="M4843"/>
      <c r="N4843"/>
      <c r="O4843"/>
      <c r="P4843"/>
      <c r="Q4843"/>
    </row>
    <row r="4844" spans="1:33" ht="15" x14ac:dyDescent="0.25">
      <c r="A4844" s="35"/>
      <c r="B4844" s="35"/>
      <c r="C4844" s="35"/>
      <c r="D4844" s="35"/>
      <c r="E4844" s="35"/>
      <c r="F4844" s="35"/>
      <c r="G4844" s="35"/>
      <c r="H4844" s="35"/>
      <c r="I4844" s="36">
        <f>J4840+J4841+J4842</f>
        <v>13427.769999999999</v>
      </c>
      <c r="J4844" s="36"/>
      <c r="K4844" s="37">
        <f>IF([1]Source!I6235&lt;&gt;0, ROUND(I4844/[1]Source!I6235, 2), 0)</f>
        <v>74598.720000000001</v>
      </c>
      <c r="M4844"/>
      <c r="N4844"/>
      <c r="O4844"/>
      <c r="P4844"/>
      <c r="Q4844"/>
      <c r="AA4844" s="38">
        <f>I4844</f>
        <v>13427.769999999999</v>
      </c>
    </row>
    <row r="4845" spans="1:33" ht="57" x14ac:dyDescent="0.2">
      <c r="A4845" s="31">
        <v>590</v>
      </c>
      <c r="B4845" s="31" t="str">
        <f>[1]Source!F6236</f>
        <v>5.3-1101-13-1/1</v>
      </c>
      <c r="C4845" s="31" t="str">
        <f>[1]Source!G6236</f>
        <v>Подметание вручную дорожек и площадок с твердым покрытием (  дополнительное подметание покрытий в осенний период)</v>
      </c>
      <c r="D4845" s="32" t="str">
        <f>[1]Source!H6236</f>
        <v>100 м2</v>
      </c>
      <c r="E4845" s="4">
        <f>[1]Source!I6236</f>
        <v>0.18</v>
      </c>
      <c r="F4845" s="33"/>
      <c r="G4845" s="34"/>
      <c r="H4845" s="4"/>
      <c r="I4845" s="4"/>
      <c r="J4845" s="33"/>
      <c r="K4845" s="33"/>
      <c r="M4845"/>
      <c r="N4845"/>
      <c r="O4845"/>
      <c r="P4845"/>
      <c r="Q4845"/>
      <c r="AB4845">
        <f>ROUND(([1]Source!BZ6236/100)*ROUND(([1]Source!AF6236*[1]Source!AV6236)*[1]Source!I6236, 2), 2)</f>
        <v>262.41000000000003</v>
      </c>
      <c r="AC4845">
        <f>[1]Source!X6236</f>
        <v>262.41000000000003</v>
      </c>
      <c r="AD4845">
        <f>ROUND(([1]Source!CA6236/100)*ROUND(([1]Source!AF6236*[1]Source!AV6236)*[1]Source!I6236, 2), 2)</f>
        <v>37.49</v>
      </c>
      <c r="AE4845">
        <f>[1]Source!Y6236</f>
        <v>37.49</v>
      </c>
      <c r="AF4845">
        <f>ROUND((175/100)*ROUND(([1]Source!AE6236*[1]Source!AV6236)*[1]Source!I6236, 2), 2)</f>
        <v>0</v>
      </c>
      <c r="AG4845">
        <f>ROUND((108/100)*ROUND([1]Source!CS6236*[1]Source!I6236, 2), 2)</f>
        <v>0</v>
      </c>
    </row>
    <row r="4846" spans="1:33" x14ac:dyDescent="0.2">
      <c r="C4846" s="40" t="str">
        <f>"Объем: "&amp;[1]Source!I6236&amp;"=18/"&amp;"100"</f>
        <v>Объем: 0,18=18/100</v>
      </c>
      <c r="M4846"/>
      <c r="N4846"/>
      <c r="O4846"/>
      <c r="P4846"/>
      <c r="Q4846"/>
    </row>
    <row r="4847" spans="1:33" ht="14.25" x14ac:dyDescent="0.2">
      <c r="A4847" s="31"/>
      <c r="B4847" s="31"/>
      <c r="C4847" s="31" t="s">
        <v>34</v>
      </c>
      <c r="D4847" s="32"/>
      <c r="E4847" s="4"/>
      <c r="F4847" s="33">
        <f>[1]Source!AO6236</f>
        <v>34.71</v>
      </c>
      <c r="G4847" s="34" t="str">
        <f>[1]Source!DG6236</f>
        <v>)*1*60</v>
      </c>
      <c r="H4847" s="4">
        <f>[1]Source!AV6236</f>
        <v>1</v>
      </c>
      <c r="I4847" s="4">
        <f>IF([1]Source!BA6236&lt;&gt; 0, [1]Source!BA6236, 1)</f>
        <v>1</v>
      </c>
      <c r="J4847" s="33">
        <f>[1]Source!S6236</f>
        <v>374.87</v>
      </c>
      <c r="K4847" s="33"/>
      <c r="M4847"/>
      <c r="N4847"/>
      <c r="O4847"/>
      <c r="P4847"/>
      <c r="Q4847"/>
    </row>
    <row r="4848" spans="1:33" ht="14.25" x14ac:dyDescent="0.2">
      <c r="A4848" s="31"/>
      <c r="B4848" s="31"/>
      <c r="C4848" s="31" t="s">
        <v>40</v>
      </c>
      <c r="D4848" s="32" t="s">
        <v>39</v>
      </c>
      <c r="E4848" s="4">
        <f>[1]Source!AT6236</f>
        <v>70</v>
      </c>
      <c r="F4848" s="33"/>
      <c r="G4848" s="34"/>
      <c r="H4848" s="4"/>
      <c r="I4848" s="4"/>
      <c r="J4848" s="33">
        <f>SUM(AC4845:AC4847)</f>
        <v>262.41000000000003</v>
      </c>
      <c r="K4848" s="33"/>
      <c r="M4848"/>
      <c r="N4848"/>
      <c r="O4848"/>
      <c r="P4848"/>
      <c r="Q4848"/>
    </row>
    <row r="4849" spans="1:33" ht="14.25" x14ac:dyDescent="0.2">
      <c r="A4849" s="31"/>
      <c r="B4849" s="31"/>
      <c r="C4849" s="31" t="s">
        <v>41</v>
      </c>
      <c r="D4849" s="32" t="s">
        <v>39</v>
      </c>
      <c r="E4849" s="4">
        <f>[1]Source!AU6236</f>
        <v>10</v>
      </c>
      <c r="F4849" s="33"/>
      <c r="G4849" s="34"/>
      <c r="H4849" s="4"/>
      <c r="I4849" s="4"/>
      <c r="J4849" s="33">
        <f>SUM(AE4845:AE4848)</f>
        <v>37.49</v>
      </c>
      <c r="K4849" s="33"/>
      <c r="M4849"/>
      <c r="N4849"/>
      <c r="O4849"/>
      <c r="P4849"/>
      <c r="Q4849"/>
    </row>
    <row r="4850" spans="1:33" ht="14.25" x14ac:dyDescent="0.2">
      <c r="A4850" s="31"/>
      <c r="B4850" s="31"/>
      <c r="C4850" s="31" t="s">
        <v>42</v>
      </c>
      <c r="D4850" s="32" t="s">
        <v>43</v>
      </c>
      <c r="E4850" s="4">
        <f>[1]Source!AQ6236</f>
        <v>0.14000000000000001</v>
      </c>
      <c r="F4850" s="33"/>
      <c r="G4850" s="34" t="str">
        <f>[1]Source!DI6236</f>
        <v>)*1*60</v>
      </c>
      <c r="H4850" s="4">
        <f>[1]Source!AV6236</f>
        <v>1</v>
      </c>
      <c r="I4850" s="4"/>
      <c r="J4850" s="33"/>
      <c r="K4850" s="33">
        <f>[1]Source!U6236</f>
        <v>1.512</v>
      </c>
      <c r="M4850"/>
      <c r="N4850"/>
      <c r="O4850"/>
      <c r="P4850"/>
      <c r="Q4850"/>
    </row>
    <row r="4851" spans="1:33" ht="15" x14ac:dyDescent="0.25">
      <c r="A4851" s="35"/>
      <c r="B4851" s="35"/>
      <c r="C4851" s="35"/>
      <c r="D4851" s="35"/>
      <c r="E4851" s="35"/>
      <c r="F4851" s="35"/>
      <c r="G4851" s="35"/>
      <c r="H4851" s="35"/>
      <c r="I4851" s="36">
        <f>J4847+J4848+J4849</f>
        <v>674.77</v>
      </c>
      <c r="J4851" s="36"/>
      <c r="K4851" s="37">
        <f>IF([1]Source!I6236&lt;&gt;0, ROUND(I4851/[1]Source!I6236, 2), 0)</f>
        <v>3748.72</v>
      </c>
      <c r="M4851"/>
      <c r="N4851"/>
      <c r="O4851"/>
      <c r="P4851"/>
      <c r="Q4851"/>
      <c r="AA4851" s="38">
        <f>I4851</f>
        <v>674.77</v>
      </c>
    </row>
    <row r="4852" spans="1:33" ht="14.25" x14ac:dyDescent="0.2">
      <c r="A4852" s="31">
        <v>591</v>
      </c>
      <c r="B4852" s="31" t="str">
        <f>[1]Source!F6237</f>
        <v>5.3-1101-14-1/1</v>
      </c>
      <c r="C4852" s="31" t="str">
        <f>[1]Source!G6237</f>
        <v>Полив дорожек из шланга вручную</v>
      </c>
      <c r="D4852" s="32" t="str">
        <f>[1]Source!H6237</f>
        <v>100 м2</v>
      </c>
      <c r="E4852" s="4">
        <f>[1]Source!I6237</f>
        <v>0.18</v>
      </c>
      <c r="F4852" s="33"/>
      <c r="G4852" s="34"/>
      <c r="H4852" s="4"/>
      <c r="I4852" s="4"/>
      <c r="J4852" s="33"/>
      <c r="K4852" s="33"/>
      <c r="M4852"/>
      <c r="N4852"/>
      <c r="O4852"/>
      <c r="P4852"/>
      <c r="Q4852"/>
      <c r="AB4852">
        <f>ROUND(([1]Source!BZ6237/100)*ROUND(([1]Source!AF6237*[1]Source!AV6237)*[1]Source!I6237, 2), 2)</f>
        <v>730.98</v>
      </c>
      <c r="AC4852">
        <f>[1]Source!X6237</f>
        <v>730.98</v>
      </c>
      <c r="AD4852">
        <f>ROUND(([1]Source!CA6237/100)*ROUND(([1]Source!AF6237*[1]Source!AV6237)*[1]Source!I6237, 2), 2)</f>
        <v>104.43</v>
      </c>
      <c r="AE4852">
        <f>[1]Source!Y6237</f>
        <v>104.43</v>
      </c>
      <c r="AF4852">
        <f>ROUND((175/100)*ROUND(([1]Source!AE6237*[1]Source!AV6237)*[1]Source!I6237, 2), 2)</f>
        <v>0</v>
      </c>
      <c r="AG4852">
        <f>ROUND((108/100)*ROUND([1]Source!CS6237*[1]Source!I6237, 2), 2)</f>
        <v>0</v>
      </c>
    </row>
    <row r="4853" spans="1:33" x14ac:dyDescent="0.2">
      <c r="C4853" s="40" t="str">
        <f>"Объем: "&amp;[1]Source!I6237&amp;"=18/"&amp;"100"</f>
        <v>Объем: 0,18=18/100</v>
      </c>
      <c r="M4853"/>
      <c r="N4853"/>
      <c r="O4853"/>
      <c r="P4853"/>
      <c r="Q4853"/>
    </row>
    <row r="4854" spans="1:33" ht="14.25" x14ac:dyDescent="0.2">
      <c r="A4854" s="31"/>
      <c r="B4854" s="31"/>
      <c r="C4854" s="31" t="s">
        <v>34</v>
      </c>
      <c r="D4854" s="32"/>
      <c r="E4854" s="4"/>
      <c r="F4854" s="33">
        <f>[1]Source!AO6237</f>
        <v>32.229999999999997</v>
      </c>
      <c r="G4854" s="34" t="str">
        <f>[1]Source!DG6237</f>
        <v>)*2*90</v>
      </c>
      <c r="H4854" s="4">
        <f>[1]Source!AV6237</f>
        <v>1</v>
      </c>
      <c r="I4854" s="4">
        <f>IF([1]Source!BA6237&lt;&gt; 0, [1]Source!BA6237, 1)</f>
        <v>1</v>
      </c>
      <c r="J4854" s="33">
        <f>[1]Source!S6237</f>
        <v>1044.25</v>
      </c>
      <c r="K4854" s="33"/>
      <c r="M4854"/>
      <c r="N4854"/>
      <c r="O4854"/>
      <c r="P4854"/>
      <c r="Q4854"/>
    </row>
    <row r="4855" spans="1:33" ht="14.25" x14ac:dyDescent="0.2">
      <c r="A4855" s="31"/>
      <c r="B4855" s="31"/>
      <c r="C4855" s="31" t="s">
        <v>47</v>
      </c>
      <c r="D4855" s="32"/>
      <c r="E4855" s="4"/>
      <c r="F4855" s="33">
        <f>[1]Source!AL6237</f>
        <v>4.24</v>
      </c>
      <c r="G4855" s="34" t="str">
        <f>[1]Source!DD6237</f>
        <v>)*2*90</v>
      </c>
      <c r="H4855" s="4">
        <f>[1]Source!AW6237</f>
        <v>1</v>
      </c>
      <c r="I4855" s="4">
        <f>IF([1]Source!BC6237&lt;&gt; 0, [1]Source!BC6237, 1)</f>
        <v>1</v>
      </c>
      <c r="J4855" s="33">
        <f>[1]Source!P6237</f>
        <v>137.38</v>
      </c>
      <c r="K4855" s="33"/>
      <c r="M4855"/>
      <c r="N4855"/>
      <c r="O4855"/>
      <c r="P4855"/>
      <c r="Q4855"/>
    </row>
    <row r="4856" spans="1:33" ht="14.25" x14ac:dyDescent="0.2">
      <c r="A4856" s="31" t="s">
        <v>212</v>
      </c>
      <c r="B4856" s="31" t="str">
        <f>[1]Source!F6238</f>
        <v>21.1-25-13</v>
      </c>
      <c r="C4856" s="31" t="str">
        <f>[1]Source!G6238</f>
        <v>Вода</v>
      </c>
      <c r="D4856" s="32" t="str">
        <f>[1]Source!H6238</f>
        <v>м3</v>
      </c>
      <c r="E4856" s="4">
        <f>[1]Source!I6238</f>
        <v>-3.2400000000000007</v>
      </c>
      <c r="F4856" s="33">
        <f>[1]Source!AK6238</f>
        <v>42.44</v>
      </c>
      <c r="G4856" s="39" t="s">
        <v>104</v>
      </c>
      <c r="H4856" s="4">
        <f>[1]Source!AW6238</f>
        <v>1</v>
      </c>
      <c r="I4856" s="4">
        <f>IF([1]Source!BC6238&lt;&gt; 0, [1]Source!BC6238, 1)</f>
        <v>1</v>
      </c>
      <c r="J4856" s="33">
        <f>[1]Source!O6238</f>
        <v>-137.51</v>
      </c>
      <c r="K4856" s="33"/>
      <c r="M4856"/>
      <c r="N4856"/>
      <c r="O4856"/>
      <c r="P4856"/>
      <c r="Q4856"/>
      <c r="AB4856">
        <f>ROUND(([1]Source!BZ6238/100)*ROUND(([1]Source!AF6238*[1]Source!AV6238)*[1]Source!I6238, 2), 2)</f>
        <v>0</v>
      </c>
      <c r="AC4856">
        <f>[1]Source!X6238</f>
        <v>0</v>
      </c>
      <c r="AD4856">
        <f>ROUND(([1]Source!CA6238/100)*ROUND(([1]Source!AF6238*[1]Source!AV6238)*[1]Source!I6238, 2), 2)</f>
        <v>0</v>
      </c>
      <c r="AE4856">
        <f>[1]Source!Y6238</f>
        <v>0</v>
      </c>
      <c r="AF4856">
        <f>ROUND((175/100)*ROUND(([1]Source!AE6238*[1]Source!AV6238)*[1]Source!I6238, 2), 2)</f>
        <v>0</v>
      </c>
      <c r="AG4856">
        <f>ROUND((108/100)*ROUND([1]Source!CS6238*[1]Source!I6238, 2), 2)</f>
        <v>0</v>
      </c>
    </row>
    <row r="4857" spans="1:33" ht="14.25" x14ac:dyDescent="0.2">
      <c r="A4857" s="31"/>
      <c r="B4857" s="31"/>
      <c r="C4857" s="31" t="s">
        <v>40</v>
      </c>
      <c r="D4857" s="32" t="s">
        <v>39</v>
      </c>
      <c r="E4857" s="4">
        <f>[1]Source!AT6237</f>
        <v>70</v>
      </c>
      <c r="F4857" s="33"/>
      <c r="G4857" s="34"/>
      <c r="H4857" s="4"/>
      <c r="I4857" s="4"/>
      <c r="J4857" s="33">
        <f>SUM(AC4852:AC4856)</f>
        <v>730.98</v>
      </c>
      <c r="K4857" s="33"/>
      <c r="M4857"/>
      <c r="N4857"/>
      <c r="O4857"/>
      <c r="P4857"/>
      <c r="Q4857"/>
    </row>
    <row r="4858" spans="1:33" ht="14.25" x14ac:dyDescent="0.2">
      <c r="A4858" s="31"/>
      <c r="B4858" s="31"/>
      <c r="C4858" s="31" t="s">
        <v>41</v>
      </c>
      <c r="D4858" s="32" t="s">
        <v>39</v>
      </c>
      <c r="E4858" s="4">
        <f>[1]Source!AU6237</f>
        <v>10</v>
      </c>
      <c r="F4858" s="33"/>
      <c r="G4858" s="34"/>
      <c r="H4858" s="4"/>
      <c r="I4858" s="4"/>
      <c r="J4858" s="33">
        <f>SUM(AE4852:AE4857)</f>
        <v>104.43</v>
      </c>
      <c r="K4858" s="33"/>
      <c r="M4858"/>
      <c r="N4858"/>
      <c r="O4858"/>
      <c r="P4858"/>
      <c r="Q4858"/>
    </row>
    <row r="4859" spans="1:33" ht="14.25" x14ac:dyDescent="0.2">
      <c r="A4859" s="31"/>
      <c r="B4859" s="31"/>
      <c r="C4859" s="31" t="s">
        <v>42</v>
      </c>
      <c r="D4859" s="32" t="s">
        <v>43</v>
      </c>
      <c r="E4859" s="4">
        <f>[1]Source!AQ6237</f>
        <v>0.13</v>
      </c>
      <c r="F4859" s="33"/>
      <c r="G4859" s="34" t="str">
        <f>[1]Source!DI6237</f>
        <v>)*2*90</v>
      </c>
      <c r="H4859" s="4">
        <f>[1]Source!AV6237</f>
        <v>1</v>
      </c>
      <c r="I4859" s="4"/>
      <c r="J4859" s="33"/>
      <c r="K4859" s="33">
        <f>[1]Source!U6237</f>
        <v>4.2120000000000006</v>
      </c>
      <c r="M4859"/>
      <c r="N4859"/>
      <c r="O4859"/>
      <c r="P4859"/>
      <c r="Q4859"/>
    </row>
    <row r="4860" spans="1:33" ht="15" x14ac:dyDescent="0.25">
      <c r="A4860" s="35"/>
      <c r="B4860" s="35"/>
      <c r="C4860" s="35"/>
      <c r="D4860" s="35"/>
      <c r="E4860" s="35"/>
      <c r="F4860" s="35"/>
      <c r="G4860" s="35"/>
      <c r="H4860" s="35"/>
      <c r="I4860" s="36">
        <f>J4854+J4855+J4857+J4858+SUM(J4856:J4856)</f>
        <v>1879.5300000000002</v>
      </c>
      <c r="J4860" s="36"/>
      <c r="K4860" s="37">
        <f>IF([1]Source!I6237&lt;&gt;0, ROUND(I4860/[1]Source!I6237, 2), 0)</f>
        <v>10441.83</v>
      </c>
      <c r="M4860"/>
      <c r="N4860"/>
      <c r="O4860"/>
      <c r="P4860"/>
      <c r="Q4860"/>
      <c r="AA4860" s="38">
        <f>I4860</f>
        <v>1879.5300000000002</v>
      </c>
    </row>
    <row r="4861" spans="1:33" x14ac:dyDescent="0.2">
      <c r="M4861" s="2">
        <f t="shared" ref="M4861:M4868" si="0">ROUND(I4861*$I$4874,2)</f>
        <v>0</v>
      </c>
      <c r="Q4861" s="2"/>
    </row>
    <row r="4862" spans="1:33" ht="15" x14ac:dyDescent="0.25">
      <c r="A4862" s="42" t="str">
        <f>CONCATENATE("Итого по подразделу: ",IF([1]Source!G6240&lt;&gt;"Новый подраздел", [1]Source!G6240, ""))</f>
        <v>Итого по подразделу: Содержание покрытий пандусов( S=18 м2)( 12 шт.)</v>
      </c>
      <c r="B4862" s="42"/>
      <c r="C4862" s="42"/>
      <c r="D4862" s="42"/>
      <c r="E4862" s="42"/>
      <c r="F4862" s="42"/>
      <c r="G4862" s="42"/>
      <c r="H4862" s="42"/>
      <c r="I4862" s="43">
        <f>SUM(AA4837:AA4861)</f>
        <v>15982.07</v>
      </c>
      <c r="J4862" s="44"/>
      <c r="K4862" s="47"/>
      <c r="L4862" s="38">
        <f>I4862</f>
        <v>15982.07</v>
      </c>
      <c r="M4862" s="2">
        <f t="shared" si="0"/>
        <v>11542.36</v>
      </c>
      <c r="N4862" s="2">
        <f>ROUND(M4862*1.2/105*100,2)</f>
        <v>13191.27</v>
      </c>
      <c r="O4862" s="2">
        <f>ROUND(N4862*0.05,2)</f>
        <v>659.56</v>
      </c>
      <c r="P4862" s="2">
        <f>N4862+O4862</f>
        <v>13850.83</v>
      </c>
      <c r="Q4862" s="3">
        <v>130</v>
      </c>
      <c r="S4862" s="2">
        <v>0</v>
      </c>
    </row>
    <row r="4863" spans="1:33" x14ac:dyDescent="0.2">
      <c r="M4863" s="2">
        <f t="shared" si="0"/>
        <v>0</v>
      </c>
      <c r="Q4863" s="2"/>
    </row>
    <row r="4864" spans="1:33" x14ac:dyDescent="0.2">
      <c r="M4864" s="2">
        <f t="shared" si="0"/>
        <v>0</v>
      </c>
      <c r="Q4864" s="2"/>
    </row>
    <row r="4865" spans="1:43" ht="15" x14ac:dyDescent="0.25">
      <c r="A4865" s="42" t="str">
        <f>CONCATENATE("Итого по разделу: ",IF([1]Source!G6270&lt;&gt;"Новый раздел", [1]Source!G6270, ""))</f>
        <v>Итого по разделу: Китайгородский проезд</v>
      </c>
      <c r="B4865" s="42"/>
      <c r="C4865" s="42"/>
      <c r="D4865" s="42"/>
      <c r="E4865" s="42"/>
      <c r="F4865" s="42"/>
      <c r="G4865" s="42"/>
      <c r="H4865" s="42"/>
      <c r="I4865" s="43">
        <f>SUM(AA4795:AA4864)</f>
        <v>539663.15</v>
      </c>
      <c r="J4865" s="44"/>
      <c r="K4865" s="47"/>
      <c r="L4865" s="38">
        <f>I4865</f>
        <v>539663.15</v>
      </c>
      <c r="M4865" s="2">
        <f>M4822+M4834+M4862</f>
        <v>389748.42</v>
      </c>
      <c r="N4865" s="2">
        <f>N4822+N4834+N4862</f>
        <v>445426.77</v>
      </c>
      <c r="O4865" s="2">
        <f>ROUND(N4865*0.05,2)</f>
        <v>22271.34</v>
      </c>
      <c r="P4865" s="2">
        <f>SUM(P4822:P4862)</f>
        <v>467698.10000000003</v>
      </c>
      <c r="Q4865" s="48"/>
      <c r="R4865">
        <v>2</v>
      </c>
    </row>
    <row r="4866" spans="1:43" x14ac:dyDescent="0.2">
      <c r="M4866" s="2">
        <f t="shared" si="0"/>
        <v>0</v>
      </c>
      <c r="Q4866" s="2"/>
    </row>
    <row r="4867" spans="1:43" x14ac:dyDescent="0.2">
      <c r="M4867" s="2">
        <f t="shared" si="0"/>
        <v>0</v>
      </c>
      <c r="Q4867" s="2"/>
    </row>
    <row r="4868" spans="1:43" ht="15" x14ac:dyDescent="0.25">
      <c r="A4868" s="42" t="str">
        <f>CONCATENATE("Итого по локальной смете: ",IF([1]Source!G6300&lt;&gt;"Новая локальная смета", [1]Source!G6300, ""))</f>
        <v>Итого по локальной смете: Летняя уборка территории ( доп. соглашение )</v>
      </c>
      <c r="B4868" s="42"/>
      <c r="C4868" s="42"/>
      <c r="D4868" s="42"/>
      <c r="E4868" s="42"/>
      <c r="F4868" s="42"/>
      <c r="G4868" s="42"/>
      <c r="H4868" s="42"/>
      <c r="I4868" s="43">
        <f>SUM(AA4508:AA4867)</f>
        <v>2805517.65</v>
      </c>
      <c r="J4868" s="44"/>
      <c r="K4868" s="47"/>
      <c r="L4868" s="38">
        <f>I4868</f>
        <v>2805517.65</v>
      </c>
      <c r="M4868" s="2">
        <f t="shared" si="0"/>
        <v>2026164.06</v>
      </c>
      <c r="N4868" s="2">
        <f>ROUND(M4868*1.2/105*100,2)</f>
        <v>2315616.0699999998</v>
      </c>
      <c r="O4868" s="2">
        <f>ROUND(N4868*0.05,2)</f>
        <v>115780.8</v>
      </c>
      <c r="P4868" s="2">
        <f>$P$4865+$P$4792+$P$4712+$P$4660+$P$4615</f>
        <v>2431396.84</v>
      </c>
      <c r="Q4868" s="48"/>
      <c r="R4868">
        <v>3</v>
      </c>
      <c r="Z4868" s="2">
        <f>$P$4865+$P$4792+$P$4712+$P$4660+$P$4615</f>
        <v>2431396.84</v>
      </c>
    </row>
    <row r="4869" spans="1:43" x14ac:dyDescent="0.2">
      <c r="Q4869" s="2"/>
    </row>
    <row r="4870" spans="1:43" x14ac:dyDescent="0.2">
      <c r="Q4870" s="2"/>
    </row>
    <row r="4871" spans="1:43" ht="30" x14ac:dyDescent="0.25">
      <c r="A4871" s="42" t="str">
        <f>CONCATENATE("Итого по смете: ",IF([1]Source!G6330&lt;&gt;"Новый объект", [1]Source!G6330, ""))</f>
        <v>Итого по смете: Оказание услуг по зимней и летней уборке территории( объединен. с доп. согл.) ( 25.03.2025г.)</v>
      </c>
      <c r="B4871" s="42"/>
      <c r="C4871" s="42"/>
      <c r="D4871" s="42"/>
      <c r="E4871" s="42"/>
      <c r="F4871" s="42"/>
      <c r="G4871" s="42"/>
      <c r="H4871" s="42"/>
      <c r="I4871" s="43">
        <f>SUM(AA1:AA4870)</f>
        <v>352095149.86000007</v>
      </c>
      <c r="J4871" s="44"/>
      <c r="K4871" s="47"/>
      <c r="Q4871" s="2"/>
      <c r="AQ4871" s="46" t="str">
        <f>CONCATENATE("Итого по смете: ",IF([1]Source!G6330&lt;&gt;"Новый объект", [1]Source!G6330, ""))</f>
        <v>Итого по смете: Оказание услуг по зимней и летней уборке территории( объединен. с доп. согл.) ( 25.03.2025г.)</v>
      </c>
    </row>
    <row r="4872" spans="1:43" ht="14.25" x14ac:dyDescent="0.2">
      <c r="C4872" s="12" t="str">
        <f>[1]Source!H6359</f>
        <v>НДС 20%</v>
      </c>
      <c r="D4872" s="12"/>
      <c r="E4872" s="12"/>
      <c r="F4872" s="12"/>
      <c r="G4872" s="12"/>
      <c r="H4872" s="12"/>
      <c r="I4872" s="20">
        <f>IF([1]Source!F6359=0, "", [1]Source!F6359)</f>
        <v>70419029.969999999</v>
      </c>
      <c r="J4872" s="20"/>
      <c r="Q4872" s="2"/>
    </row>
    <row r="4873" spans="1:43" ht="14.25" x14ac:dyDescent="0.2">
      <c r="C4873" s="12" t="str">
        <f>[1]Source!H6360</f>
        <v>Всего с НДС</v>
      </c>
      <c r="D4873" s="12"/>
      <c r="E4873" s="12"/>
      <c r="F4873" s="12"/>
      <c r="G4873" s="12"/>
      <c r="H4873" s="12"/>
      <c r="I4873" s="20">
        <f>IF([1]Source!F6360=0, "", [1]Source!F6360)</f>
        <v>422514179.82999998</v>
      </c>
      <c r="J4873" s="20"/>
      <c r="Q4873" s="2"/>
    </row>
    <row r="4874" spans="1:43" ht="28.5" x14ac:dyDescent="0.2">
      <c r="C4874" s="54" t="s">
        <v>213</v>
      </c>
      <c r="D4874" s="54"/>
      <c r="E4874" s="54"/>
      <c r="F4874" s="54"/>
      <c r="G4874" s="54"/>
      <c r="H4874" s="54"/>
      <c r="I4874" s="55">
        <v>0.72220684771869703</v>
      </c>
      <c r="J4874" s="33">
        <f>I4873*I4874</f>
        <v>305142633.93147498</v>
      </c>
      <c r="P4874" s="2">
        <f>P4868+P4505+P3734+P2519</f>
        <v>305142633.93000001</v>
      </c>
      <c r="Z4874" s="2">
        <f>SUM(Z113:Z4868)</f>
        <v>305142633.93000001</v>
      </c>
    </row>
    <row r="4875" spans="1:43" ht="14.25" x14ac:dyDescent="0.2">
      <c r="C4875" s="54"/>
      <c r="D4875" s="54"/>
      <c r="E4875" s="54"/>
      <c r="F4875" s="54"/>
      <c r="G4875" s="54"/>
      <c r="H4875" s="54"/>
      <c r="I4875" s="33"/>
      <c r="J4875" s="33"/>
      <c r="P4875" s="2">
        <f>SUBTOTAL(9,P113:P4862)</f>
        <v>659455915.49000072</v>
      </c>
    </row>
    <row r="4878" spans="1:43" ht="14.25" x14ac:dyDescent="0.2">
      <c r="A4878" s="56" t="s">
        <v>214</v>
      </c>
      <c r="B4878" s="56"/>
      <c r="C4878" s="57" t="str">
        <f>IF([1]Source!AC12&lt;&gt;"", [1]Source!AC12," ")</f>
        <v xml:space="preserve"> </v>
      </c>
      <c r="D4878" s="57"/>
      <c r="E4878" s="57"/>
      <c r="F4878" s="57"/>
      <c r="G4878" s="57"/>
      <c r="H4878" s="8" t="str">
        <f>IF([1]Source!AB12&lt;&gt;"", [1]Source!AB12," ")</f>
        <v xml:space="preserve"> </v>
      </c>
      <c r="I4878" s="8"/>
      <c r="J4878" s="8"/>
      <c r="K4878" s="8"/>
    </row>
    <row r="4879" spans="1:43" ht="14.25" x14ac:dyDescent="0.2">
      <c r="A4879" s="8"/>
      <c r="B4879" s="8"/>
      <c r="C4879" s="58" t="s">
        <v>215</v>
      </c>
      <c r="D4879" s="58"/>
      <c r="E4879" s="58"/>
      <c r="F4879" s="58"/>
      <c r="G4879" s="58"/>
      <c r="H4879" s="8"/>
      <c r="I4879" s="8"/>
      <c r="J4879" s="8"/>
      <c r="K4879" s="8"/>
    </row>
    <row r="4880" spans="1:43" ht="14.25" x14ac:dyDescent="0.2">
      <c r="A4880" s="8"/>
      <c r="B4880" s="8"/>
      <c r="C4880" s="8"/>
      <c r="D4880" s="8"/>
      <c r="E4880" s="8"/>
      <c r="F4880" s="8"/>
      <c r="G4880" s="8"/>
      <c r="H4880" s="8"/>
      <c r="I4880" s="8"/>
      <c r="J4880" s="8"/>
      <c r="K4880" s="8"/>
    </row>
    <row r="4881" spans="1:11" ht="14.25" x14ac:dyDescent="0.2">
      <c r="A4881" s="56" t="s">
        <v>216</v>
      </c>
      <c r="B4881" s="56"/>
      <c r="C4881" s="57" t="str">
        <f>IF([1]Source!AE12&lt;&gt;"", [1]Source!AE12," ")</f>
        <v xml:space="preserve"> </v>
      </c>
      <c r="D4881" s="57"/>
      <c r="E4881" s="57"/>
      <c r="F4881" s="57"/>
      <c r="G4881" s="57"/>
      <c r="H4881" s="8" t="str">
        <f>IF([1]Source!AD12&lt;&gt;"", [1]Source!AD12," ")</f>
        <v xml:space="preserve"> </v>
      </c>
      <c r="I4881" s="8"/>
      <c r="J4881" s="8"/>
      <c r="K4881" s="8"/>
    </row>
    <row r="4882" spans="1:11" ht="14.25" x14ac:dyDescent="0.2">
      <c r="A4882" s="8"/>
      <c r="B4882" s="8"/>
      <c r="C4882" s="58" t="s">
        <v>215</v>
      </c>
      <c r="D4882" s="58"/>
      <c r="E4882" s="58"/>
      <c r="F4882" s="58"/>
      <c r="G4882" s="58"/>
      <c r="H4882" s="8"/>
      <c r="I4882" s="8"/>
      <c r="J4882" s="8"/>
      <c r="K4882" s="8"/>
    </row>
  </sheetData>
  <autoFilter ref="A30:Z4873"/>
  <mergeCells count="1118">
    <mergeCell ref="C4873:H4873"/>
    <mergeCell ref="I4873:J4873"/>
    <mergeCell ref="A4878:B4878"/>
    <mergeCell ref="C4879:G4879"/>
    <mergeCell ref="A4881:B4881"/>
    <mergeCell ref="C4882:G4882"/>
    <mergeCell ref="A4868:H4868"/>
    <mergeCell ref="I4868:J4868"/>
    <mergeCell ref="A4871:H4871"/>
    <mergeCell ref="I4871:J4871"/>
    <mergeCell ref="C4872:H4872"/>
    <mergeCell ref="I4872:J4872"/>
    <mergeCell ref="I4851:J4851"/>
    <mergeCell ref="I4860:J4860"/>
    <mergeCell ref="A4862:H4862"/>
    <mergeCell ref="I4862:J4862"/>
    <mergeCell ref="A4865:H4865"/>
    <mergeCell ref="I4865:J4865"/>
    <mergeCell ref="A4825:K4825"/>
    <mergeCell ref="I4832:J4832"/>
    <mergeCell ref="A4834:H4834"/>
    <mergeCell ref="I4834:J4834"/>
    <mergeCell ref="A4837:K4837"/>
    <mergeCell ref="I4844:J4844"/>
    <mergeCell ref="A4795:K4795"/>
    <mergeCell ref="A4797:K4797"/>
    <mergeCell ref="I4804:J4804"/>
    <mergeCell ref="I4811:J4811"/>
    <mergeCell ref="I4820:J4820"/>
    <mergeCell ref="A4822:H4822"/>
    <mergeCell ref="I4822:J4822"/>
    <mergeCell ref="I4778:J4778"/>
    <mergeCell ref="I4787:J4787"/>
    <mergeCell ref="A4789:H4789"/>
    <mergeCell ref="I4789:J4789"/>
    <mergeCell ref="A4792:H4792"/>
    <mergeCell ref="I4792:J4792"/>
    <mergeCell ref="A4745:K4745"/>
    <mergeCell ref="I4752:J4752"/>
    <mergeCell ref="I4761:J4761"/>
    <mergeCell ref="A4763:H4763"/>
    <mergeCell ref="I4763:J4763"/>
    <mergeCell ref="A4766:K4766"/>
    <mergeCell ref="A4715:K4715"/>
    <mergeCell ref="A4717:K4717"/>
    <mergeCell ref="I4724:J4724"/>
    <mergeCell ref="I4731:J4731"/>
    <mergeCell ref="I4740:J4740"/>
    <mergeCell ref="A4742:H4742"/>
    <mergeCell ref="I4742:J4742"/>
    <mergeCell ref="I4698:J4698"/>
    <mergeCell ref="I4707:J4707"/>
    <mergeCell ref="A4709:H4709"/>
    <mergeCell ref="I4709:J4709"/>
    <mergeCell ref="A4712:H4712"/>
    <mergeCell ref="I4712:J4712"/>
    <mergeCell ref="A4665:K4665"/>
    <mergeCell ref="I4672:J4672"/>
    <mergeCell ref="I4681:J4681"/>
    <mergeCell ref="A4683:H4683"/>
    <mergeCell ref="I4683:J4683"/>
    <mergeCell ref="A4686:K4686"/>
    <mergeCell ref="I4655:J4655"/>
    <mergeCell ref="A4657:H4657"/>
    <mergeCell ref="I4657:J4657"/>
    <mergeCell ref="A4660:H4660"/>
    <mergeCell ref="I4660:J4660"/>
    <mergeCell ref="A4663:K4663"/>
    <mergeCell ref="I4627:J4627"/>
    <mergeCell ref="A4629:H4629"/>
    <mergeCell ref="I4629:J4629"/>
    <mergeCell ref="A4632:K4632"/>
    <mergeCell ref="I4639:J4639"/>
    <mergeCell ref="I4646:J4646"/>
    <mergeCell ref="A4612:H4612"/>
    <mergeCell ref="I4612:J4612"/>
    <mergeCell ref="A4615:H4615"/>
    <mergeCell ref="I4615:J4615"/>
    <mergeCell ref="A4618:K4618"/>
    <mergeCell ref="A4620:K4620"/>
    <mergeCell ref="I4593:J4593"/>
    <mergeCell ref="I4602:J4602"/>
    <mergeCell ref="A4604:H4604"/>
    <mergeCell ref="I4604:J4604"/>
    <mergeCell ref="A4607:K4607"/>
    <mergeCell ref="I4610:J4610"/>
    <mergeCell ref="A4560:K4560"/>
    <mergeCell ref="I4567:J4567"/>
    <mergeCell ref="I4576:J4576"/>
    <mergeCell ref="A4578:H4578"/>
    <mergeCell ref="I4578:J4578"/>
    <mergeCell ref="A4581:K4581"/>
    <mergeCell ref="A4545:H4545"/>
    <mergeCell ref="I4545:J4545"/>
    <mergeCell ref="A4548:K4548"/>
    <mergeCell ref="I4555:J4555"/>
    <mergeCell ref="A4557:H4557"/>
    <mergeCell ref="I4557:J4557"/>
    <mergeCell ref="A4510:K4510"/>
    <mergeCell ref="A4512:K4512"/>
    <mergeCell ref="I4520:J4520"/>
    <mergeCell ref="I4527:J4527"/>
    <mergeCell ref="I4535:J4535"/>
    <mergeCell ref="I4543:J4543"/>
    <mergeCell ref="I4500:J4500"/>
    <mergeCell ref="A4502:H4502"/>
    <mergeCell ref="I4502:J4502"/>
    <mergeCell ref="A4505:H4505"/>
    <mergeCell ref="I4505:J4505"/>
    <mergeCell ref="A4508:K4508"/>
    <mergeCell ref="I4446:J4446"/>
    <mergeCell ref="I4455:J4455"/>
    <mergeCell ref="I4464:J4464"/>
    <mergeCell ref="I4473:J4473"/>
    <mergeCell ref="I4482:J4482"/>
    <mergeCell ref="I4491:J4491"/>
    <mergeCell ref="I4414:J4414"/>
    <mergeCell ref="I4423:J4423"/>
    <mergeCell ref="A4425:H4425"/>
    <mergeCell ref="I4425:J4425"/>
    <mergeCell ref="A4428:K4428"/>
    <mergeCell ref="I4437:J4437"/>
    <mergeCell ref="I4360:J4360"/>
    <mergeCell ref="I4369:J4369"/>
    <mergeCell ref="I4378:J4378"/>
    <mergeCell ref="I4387:J4387"/>
    <mergeCell ref="I4396:J4396"/>
    <mergeCell ref="I4405:J4405"/>
    <mergeCell ref="I4328:J4328"/>
    <mergeCell ref="I4337:J4337"/>
    <mergeCell ref="I4346:J4346"/>
    <mergeCell ref="A4348:H4348"/>
    <mergeCell ref="I4348:J4348"/>
    <mergeCell ref="A4351:K4351"/>
    <mergeCell ref="A4274:K4274"/>
    <mergeCell ref="I4283:J4283"/>
    <mergeCell ref="I4292:J4292"/>
    <mergeCell ref="I4301:J4301"/>
    <mergeCell ref="I4310:J4310"/>
    <mergeCell ref="I4319:J4319"/>
    <mergeCell ref="I4258:J4258"/>
    <mergeCell ref="I4266:J4266"/>
    <mergeCell ref="A4268:H4268"/>
    <mergeCell ref="I4268:J4268"/>
    <mergeCell ref="A4271:H4271"/>
    <mergeCell ref="I4271:J4271"/>
    <mergeCell ref="I4219:J4219"/>
    <mergeCell ref="I4226:J4226"/>
    <mergeCell ref="I4233:J4233"/>
    <mergeCell ref="I4240:J4240"/>
    <mergeCell ref="I4247:J4247"/>
    <mergeCell ref="I4254:J4254"/>
    <mergeCell ref="A4201:K4201"/>
    <mergeCell ref="I4204:J4204"/>
    <mergeCell ref="I4211:J4211"/>
    <mergeCell ref="A4213:H4213"/>
    <mergeCell ref="I4213:J4213"/>
    <mergeCell ref="A4216:K4216"/>
    <mergeCell ref="I4167:J4167"/>
    <mergeCell ref="I4177:J4177"/>
    <mergeCell ref="I4184:J4184"/>
    <mergeCell ref="I4188:J4188"/>
    <mergeCell ref="I4196:J4196"/>
    <mergeCell ref="A4198:H4198"/>
    <mergeCell ref="I4198:J4198"/>
    <mergeCell ref="A4134:K4134"/>
    <mergeCell ref="A4136:K4136"/>
    <mergeCell ref="I4139:J4139"/>
    <mergeCell ref="I4146:J4146"/>
    <mergeCell ref="I4153:J4153"/>
    <mergeCell ref="I4160:J4160"/>
    <mergeCell ref="A4123:K4123"/>
    <mergeCell ref="I4126:J4126"/>
    <mergeCell ref="A4128:H4128"/>
    <mergeCell ref="I4128:J4128"/>
    <mergeCell ref="A4131:H4131"/>
    <mergeCell ref="I4131:J4131"/>
    <mergeCell ref="I4100:J4100"/>
    <mergeCell ref="I4107:J4107"/>
    <mergeCell ref="I4114:J4114"/>
    <mergeCell ref="I4118:J4118"/>
    <mergeCell ref="A4120:H4120"/>
    <mergeCell ref="I4120:J4120"/>
    <mergeCell ref="I4080:J4080"/>
    <mergeCell ref="I4084:J4084"/>
    <mergeCell ref="I4092:J4092"/>
    <mergeCell ref="A4094:H4094"/>
    <mergeCell ref="I4094:J4094"/>
    <mergeCell ref="A4097:K4097"/>
    <mergeCell ref="I4035:J4035"/>
    <mergeCell ref="I4042:J4042"/>
    <mergeCell ref="I4049:J4049"/>
    <mergeCell ref="I4056:J4056"/>
    <mergeCell ref="I4063:J4063"/>
    <mergeCell ref="I4073:J4073"/>
    <mergeCell ref="A4024:H4024"/>
    <mergeCell ref="I4024:J4024"/>
    <mergeCell ref="A4027:H4027"/>
    <mergeCell ref="I4027:J4027"/>
    <mergeCell ref="A4030:K4030"/>
    <mergeCell ref="A4032:K4032"/>
    <mergeCell ref="I4010:J4010"/>
    <mergeCell ref="I4014:J4014"/>
    <mergeCell ref="A4016:H4016"/>
    <mergeCell ref="I4016:J4016"/>
    <mergeCell ref="A4019:K4019"/>
    <mergeCell ref="I4022:J4022"/>
    <mergeCell ref="A3988:H3988"/>
    <mergeCell ref="I3988:J3988"/>
    <mergeCell ref="A3991:K3991"/>
    <mergeCell ref="A3993:K3993"/>
    <mergeCell ref="I3996:J3996"/>
    <mergeCell ref="I4003:J4003"/>
    <mergeCell ref="I3957:J3957"/>
    <mergeCell ref="I3964:J3964"/>
    <mergeCell ref="I3971:J3971"/>
    <mergeCell ref="I3975:J3975"/>
    <mergeCell ref="I3983:J3983"/>
    <mergeCell ref="A3985:H3985"/>
    <mergeCell ref="I3985:J3985"/>
    <mergeCell ref="A3930:H3930"/>
    <mergeCell ref="I3930:J3930"/>
    <mergeCell ref="A3933:K3933"/>
    <mergeCell ref="I3936:J3936"/>
    <mergeCell ref="I3943:J3943"/>
    <mergeCell ref="I3950:J3950"/>
    <mergeCell ref="A3913:H3913"/>
    <mergeCell ref="I3913:J3913"/>
    <mergeCell ref="A3916:K3916"/>
    <mergeCell ref="A3918:K3918"/>
    <mergeCell ref="I3921:J3921"/>
    <mergeCell ref="I3928:J3928"/>
    <mergeCell ref="I3896:J3896"/>
    <mergeCell ref="A3898:H3898"/>
    <mergeCell ref="I3898:J3898"/>
    <mergeCell ref="A3901:K3901"/>
    <mergeCell ref="I3908:J3908"/>
    <mergeCell ref="A3910:H3910"/>
    <mergeCell ref="I3910:J3910"/>
    <mergeCell ref="I3876:J3876"/>
    <mergeCell ref="I3880:J3880"/>
    <mergeCell ref="I3888:J3888"/>
    <mergeCell ref="A3890:H3890"/>
    <mergeCell ref="I3890:J3890"/>
    <mergeCell ref="A3893:K3893"/>
    <mergeCell ref="A3838:K3838"/>
    <mergeCell ref="I3841:J3841"/>
    <mergeCell ref="I3848:J3848"/>
    <mergeCell ref="I3855:J3855"/>
    <mergeCell ref="I3862:J3862"/>
    <mergeCell ref="I3869:J3869"/>
    <mergeCell ref="A3820:H3820"/>
    <mergeCell ref="I3820:J3820"/>
    <mergeCell ref="A3823:K3823"/>
    <mergeCell ref="I3826:J3826"/>
    <mergeCell ref="I3833:J3833"/>
    <mergeCell ref="A3835:H3835"/>
    <mergeCell ref="I3835:J3835"/>
    <mergeCell ref="I3785:J3785"/>
    <mergeCell ref="I3795:J3795"/>
    <mergeCell ref="I3802:J3802"/>
    <mergeCell ref="I3806:J3806"/>
    <mergeCell ref="I3810:J3810"/>
    <mergeCell ref="I3818:J3818"/>
    <mergeCell ref="I3747:J3747"/>
    <mergeCell ref="I3751:J3751"/>
    <mergeCell ref="I3757:J3757"/>
    <mergeCell ref="I3764:J3764"/>
    <mergeCell ref="I3771:J3771"/>
    <mergeCell ref="I3778:J3778"/>
    <mergeCell ref="A3734:H3734"/>
    <mergeCell ref="I3734:J3734"/>
    <mergeCell ref="A3737:K3737"/>
    <mergeCell ref="A3739:K3739"/>
    <mergeCell ref="A3741:K3741"/>
    <mergeCell ref="I3744:J3744"/>
    <mergeCell ref="A3702:K3702"/>
    <mergeCell ref="I3711:J3711"/>
    <mergeCell ref="I3721:J3721"/>
    <mergeCell ref="I3729:J3729"/>
    <mergeCell ref="A3731:H3731"/>
    <mergeCell ref="I3731:J3731"/>
    <mergeCell ref="A3687:K3687"/>
    <mergeCell ref="I3694:J3694"/>
    <mergeCell ref="A3696:H3696"/>
    <mergeCell ref="I3696:J3696"/>
    <mergeCell ref="A3699:H3699"/>
    <mergeCell ref="I3699:J3699"/>
    <mergeCell ref="A3657:K3657"/>
    <mergeCell ref="A3659:K3659"/>
    <mergeCell ref="I3666:J3666"/>
    <mergeCell ref="I3673:J3673"/>
    <mergeCell ref="I3682:J3682"/>
    <mergeCell ref="A3684:H3684"/>
    <mergeCell ref="I3684:J3684"/>
    <mergeCell ref="A3633:K3633"/>
    <mergeCell ref="I3640:J3640"/>
    <mergeCell ref="I3649:J3649"/>
    <mergeCell ref="A3651:H3651"/>
    <mergeCell ref="I3651:J3651"/>
    <mergeCell ref="A3654:H3654"/>
    <mergeCell ref="I3654:J3654"/>
    <mergeCell ref="A3610:K3610"/>
    <mergeCell ref="A3612:K3612"/>
    <mergeCell ref="I3619:J3619"/>
    <mergeCell ref="I3628:J3628"/>
    <mergeCell ref="A3630:H3630"/>
    <mergeCell ref="I3630:J3630"/>
    <mergeCell ref="A3590:K3590"/>
    <mergeCell ref="I3593:J3593"/>
    <mergeCell ref="I3602:J3602"/>
    <mergeCell ref="A3604:H3604"/>
    <mergeCell ref="I3604:J3604"/>
    <mergeCell ref="A3607:H3607"/>
    <mergeCell ref="I3607:J3607"/>
    <mergeCell ref="A3573:H3573"/>
    <mergeCell ref="I3573:J3573"/>
    <mergeCell ref="A3576:K3576"/>
    <mergeCell ref="A3578:K3578"/>
    <mergeCell ref="I3585:J3585"/>
    <mergeCell ref="A3587:H3587"/>
    <mergeCell ref="I3587:J3587"/>
    <mergeCell ref="A3543:K3543"/>
    <mergeCell ref="A3545:K3545"/>
    <mergeCell ref="I3552:J3552"/>
    <mergeCell ref="I3559:J3559"/>
    <mergeCell ref="I3568:J3568"/>
    <mergeCell ref="A3570:H3570"/>
    <mergeCell ref="I3570:J3570"/>
    <mergeCell ref="A3528:K3528"/>
    <mergeCell ref="I3535:J3535"/>
    <mergeCell ref="A3537:H3537"/>
    <mergeCell ref="I3537:J3537"/>
    <mergeCell ref="A3540:H3540"/>
    <mergeCell ref="I3540:J3540"/>
    <mergeCell ref="A3499:H3499"/>
    <mergeCell ref="I3499:J3499"/>
    <mergeCell ref="A3502:K3502"/>
    <mergeCell ref="I3514:J3514"/>
    <mergeCell ref="I3523:J3523"/>
    <mergeCell ref="A3525:H3525"/>
    <mergeCell ref="I3525:J3525"/>
    <mergeCell ref="I3476:J3476"/>
    <mergeCell ref="I3485:J3485"/>
    <mergeCell ref="A3487:H3487"/>
    <mergeCell ref="I3487:J3487"/>
    <mergeCell ref="A3490:K3490"/>
    <mergeCell ref="I3497:J3497"/>
    <mergeCell ref="A3446:K3446"/>
    <mergeCell ref="I3455:J3455"/>
    <mergeCell ref="I3464:J3464"/>
    <mergeCell ref="A3466:H3466"/>
    <mergeCell ref="I3466:J3466"/>
    <mergeCell ref="A3469:K3469"/>
    <mergeCell ref="I3411:J3411"/>
    <mergeCell ref="I3418:J3418"/>
    <mergeCell ref="I3425:J3425"/>
    <mergeCell ref="I3433:J3433"/>
    <mergeCell ref="I3441:J3441"/>
    <mergeCell ref="A3443:H3443"/>
    <mergeCell ref="I3443:J3443"/>
    <mergeCell ref="A3392:K3392"/>
    <mergeCell ref="I3396:J3396"/>
    <mergeCell ref="A3398:H3398"/>
    <mergeCell ref="I3398:J3398"/>
    <mergeCell ref="A3401:K3401"/>
    <mergeCell ref="A3403:K3403"/>
    <mergeCell ref="I3378:J3378"/>
    <mergeCell ref="A3380:H3380"/>
    <mergeCell ref="I3380:J3380"/>
    <mergeCell ref="A3383:K3383"/>
    <mergeCell ref="I3387:J3387"/>
    <mergeCell ref="A3389:H3389"/>
    <mergeCell ref="I3389:J3389"/>
    <mergeCell ref="A3362:K3362"/>
    <mergeCell ref="I3366:J3366"/>
    <mergeCell ref="A3368:H3368"/>
    <mergeCell ref="I3368:J3368"/>
    <mergeCell ref="A3371:K3371"/>
    <mergeCell ref="I3374:J3374"/>
    <mergeCell ref="I3343:J3343"/>
    <mergeCell ref="A3345:H3345"/>
    <mergeCell ref="I3345:J3345"/>
    <mergeCell ref="A3348:K3348"/>
    <mergeCell ref="I3357:J3357"/>
    <mergeCell ref="A3359:H3359"/>
    <mergeCell ref="I3359:J3359"/>
    <mergeCell ref="I3315:J3315"/>
    <mergeCell ref="I3323:J3323"/>
    <mergeCell ref="I3331:J3331"/>
    <mergeCell ref="A3333:H3333"/>
    <mergeCell ref="I3333:J3333"/>
    <mergeCell ref="A3336:K3336"/>
    <mergeCell ref="I3288:J3288"/>
    <mergeCell ref="A3290:H3290"/>
    <mergeCell ref="I3290:J3290"/>
    <mergeCell ref="A3293:K3293"/>
    <mergeCell ref="I3301:J3301"/>
    <mergeCell ref="I3308:J3308"/>
    <mergeCell ref="A3258:K3258"/>
    <mergeCell ref="I3270:J3270"/>
    <mergeCell ref="I3279:J3279"/>
    <mergeCell ref="A3281:H3281"/>
    <mergeCell ref="I3281:J3281"/>
    <mergeCell ref="A3284:K3284"/>
    <mergeCell ref="I3241:J3241"/>
    <mergeCell ref="I3250:J3250"/>
    <mergeCell ref="A3252:H3252"/>
    <mergeCell ref="I3252:J3252"/>
    <mergeCell ref="A3255:H3255"/>
    <mergeCell ref="I3255:J3255"/>
    <mergeCell ref="I3208:J3208"/>
    <mergeCell ref="I3216:J3216"/>
    <mergeCell ref="I3224:J3224"/>
    <mergeCell ref="A3226:H3226"/>
    <mergeCell ref="I3226:J3226"/>
    <mergeCell ref="A3229:K3229"/>
    <mergeCell ref="A3181:H3181"/>
    <mergeCell ref="I3181:J3181"/>
    <mergeCell ref="A3184:K3184"/>
    <mergeCell ref="A3186:K3186"/>
    <mergeCell ref="I3194:J3194"/>
    <mergeCell ref="I3201:J3201"/>
    <mergeCell ref="I3154:J3154"/>
    <mergeCell ref="A3156:H3156"/>
    <mergeCell ref="I3156:J3156"/>
    <mergeCell ref="A3159:K3159"/>
    <mergeCell ref="I3169:J3169"/>
    <mergeCell ref="I3179:J3179"/>
    <mergeCell ref="I3124:J3124"/>
    <mergeCell ref="I3133:J3133"/>
    <mergeCell ref="A3135:H3135"/>
    <mergeCell ref="I3135:J3135"/>
    <mergeCell ref="A3138:K3138"/>
    <mergeCell ref="I3145:J3145"/>
    <mergeCell ref="I3102:J3102"/>
    <mergeCell ref="I3106:J3106"/>
    <mergeCell ref="I3110:J3110"/>
    <mergeCell ref="A3112:H3112"/>
    <mergeCell ref="I3112:J3112"/>
    <mergeCell ref="A3115:K3115"/>
    <mergeCell ref="A3083:H3083"/>
    <mergeCell ref="I3083:J3083"/>
    <mergeCell ref="A3086:K3086"/>
    <mergeCell ref="I3090:J3090"/>
    <mergeCell ref="I3094:J3094"/>
    <mergeCell ref="I3098:J3098"/>
    <mergeCell ref="I3059:J3059"/>
    <mergeCell ref="A3061:H3061"/>
    <mergeCell ref="I3061:J3061"/>
    <mergeCell ref="A3064:K3064"/>
    <mergeCell ref="I3072:J3072"/>
    <mergeCell ref="I3081:J3081"/>
    <mergeCell ref="I3027:J3027"/>
    <mergeCell ref="I3036:J3036"/>
    <mergeCell ref="A3038:H3038"/>
    <mergeCell ref="I3038:J3038"/>
    <mergeCell ref="A3041:K3041"/>
    <mergeCell ref="I3050:J3050"/>
    <mergeCell ref="A2999:K2999"/>
    <mergeCell ref="I3006:J3006"/>
    <mergeCell ref="I3015:J3015"/>
    <mergeCell ref="A3017:H3017"/>
    <mergeCell ref="I3017:J3017"/>
    <mergeCell ref="A3020:K3020"/>
    <mergeCell ref="A2957:K2957"/>
    <mergeCell ref="I2966:J2966"/>
    <mergeCell ref="I2975:J2975"/>
    <mergeCell ref="I2986:J2986"/>
    <mergeCell ref="I2994:J2994"/>
    <mergeCell ref="A2996:H2996"/>
    <mergeCell ref="I2996:J2996"/>
    <mergeCell ref="A2933:H2933"/>
    <mergeCell ref="I2933:J2933"/>
    <mergeCell ref="A2936:K2936"/>
    <mergeCell ref="I2943:J2943"/>
    <mergeCell ref="I2952:J2952"/>
    <mergeCell ref="A2954:H2954"/>
    <mergeCell ref="I2954:J2954"/>
    <mergeCell ref="A2904:H2904"/>
    <mergeCell ref="I2904:J2904"/>
    <mergeCell ref="A2907:K2907"/>
    <mergeCell ref="I2919:J2919"/>
    <mergeCell ref="I2928:J2928"/>
    <mergeCell ref="A2930:H2930"/>
    <mergeCell ref="I2930:J2930"/>
    <mergeCell ref="I2881:J2881"/>
    <mergeCell ref="A2883:H2883"/>
    <mergeCell ref="I2883:J2883"/>
    <mergeCell ref="A2886:K2886"/>
    <mergeCell ref="I2893:J2893"/>
    <mergeCell ref="I2902:J2902"/>
    <mergeCell ref="I2858:J2858"/>
    <mergeCell ref="A2860:H2860"/>
    <mergeCell ref="I2860:J2860"/>
    <mergeCell ref="A2863:K2863"/>
    <mergeCell ref="A2865:K2865"/>
    <mergeCell ref="I2873:J2873"/>
    <mergeCell ref="I2834:J2834"/>
    <mergeCell ref="I2837:J2837"/>
    <mergeCell ref="A2839:H2839"/>
    <mergeCell ref="I2839:J2839"/>
    <mergeCell ref="A2842:K2842"/>
    <mergeCell ref="I2849:J2849"/>
    <mergeCell ref="I2806:J2806"/>
    <mergeCell ref="A2808:H2808"/>
    <mergeCell ref="I2808:J2808"/>
    <mergeCell ref="A2811:K2811"/>
    <mergeCell ref="I2818:J2818"/>
    <mergeCell ref="I2825:J2825"/>
    <mergeCell ref="A2777:H2777"/>
    <mergeCell ref="I2777:J2777"/>
    <mergeCell ref="A2780:K2780"/>
    <mergeCell ref="I2787:J2787"/>
    <mergeCell ref="I2794:J2794"/>
    <mergeCell ref="I2803:J2803"/>
    <mergeCell ref="A2749:H2749"/>
    <mergeCell ref="I2749:J2749"/>
    <mergeCell ref="A2752:K2752"/>
    <mergeCell ref="I2759:J2759"/>
    <mergeCell ref="I2766:J2766"/>
    <mergeCell ref="I2775:J2775"/>
    <mergeCell ref="A2721:H2721"/>
    <mergeCell ref="I2721:J2721"/>
    <mergeCell ref="A2724:K2724"/>
    <mergeCell ref="I2731:J2731"/>
    <mergeCell ref="I2738:J2738"/>
    <mergeCell ref="I2747:J2747"/>
    <mergeCell ref="A2693:H2693"/>
    <mergeCell ref="I2693:J2693"/>
    <mergeCell ref="A2696:K2696"/>
    <mergeCell ref="I2703:J2703"/>
    <mergeCell ref="I2710:J2710"/>
    <mergeCell ref="I2719:J2719"/>
    <mergeCell ref="A2653:K2653"/>
    <mergeCell ref="I2661:J2661"/>
    <mergeCell ref="I2668:J2668"/>
    <mergeCell ref="I2675:J2675"/>
    <mergeCell ref="I2683:J2683"/>
    <mergeCell ref="I2691:J2691"/>
    <mergeCell ref="I2618:J2618"/>
    <mergeCell ref="I2625:J2625"/>
    <mergeCell ref="I2632:J2632"/>
    <mergeCell ref="I2640:J2640"/>
    <mergeCell ref="I2648:J2648"/>
    <mergeCell ref="A2650:H2650"/>
    <mergeCell ref="I2650:J2650"/>
    <mergeCell ref="I2589:J2589"/>
    <mergeCell ref="I2597:J2597"/>
    <mergeCell ref="I2605:J2605"/>
    <mergeCell ref="A2607:H2607"/>
    <mergeCell ref="I2607:J2607"/>
    <mergeCell ref="A2610:K2610"/>
    <mergeCell ref="I2562:J2562"/>
    <mergeCell ref="A2564:H2564"/>
    <mergeCell ref="I2564:J2564"/>
    <mergeCell ref="A2567:K2567"/>
    <mergeCell ref="I2575:J2575"/>
    <mergeCell ref="I2582:J2582"/>
    <mergeCell ref="A2522:K2522"/>
    <mergeCell ref="A2524:K2524"/>
    <mergeCell ref="I2532:J2532"/>
    <mergeCell ref="I2539:J2539"/>
    <mergeCell ref="I2546:J2546"/>
    <mergeCell ref="I2554:J2554"/>
    <mergeCell ref="I2505:J2505"/>
    <mergeCell ref="I2514:J2514"/>
    <mergeCell ref="A2516:H2516"/>
    <mergeCell ref="I2516:J2516"/>
    <mergeCell ref="A2519:H2519"/>
    <mergeCell ref="I2519:J2519"/>
    <mergeCell ref="I2451:J2451"/>
    <mergeCell ref="I2460:J2460"/>
    <mergeCell ref="I2469:J2469"/>
    <mergeCell ref="I2478:J2478"/>
    <mergeCell ref="I2487:J2487"/>
    <mergeCell ref="I2496:J2496"/>
    <mergeCell ref="I2419:J2419"/>
    <mergeCell ref="I2428:J2428"/>
    <mergeCell ref="I2437:J2437"/>
    <mergeCell ref="A2439:H2439"/>
    <mergeCell ref="I2439:J2439"/>
    <mergeCell ref="A2442:K2442"/>
    <mergeCell ref="A2365:K2365"/>
    <mergeCell ref="I2374:J2374"/>
    <mergeCell ref="I2383:J2383"/>
    <mergeCell ref="I2392:J2392"/>
    <mergeCell ref="I2401:J2401"/>
    <mergeCell ref="I2410:J2410"/>
    <mergeCell ref="I2324:J2324"/>
    <mergeCell ref="I2333:J2333"/>
    <mergeCell ref="I2342:J2342"/>
    <mergeCell ref="I2351:J2351"/>
    <mergeCell ref="I2360:J2360"/>
    <mergeCell ref="A2362:H2362"/>
    <mergeCell ref="I2362:J2362"/>
    <mergeCell ref="A2285:H2285"/>
    <mergeCell ref="I2285:J2285"/>
    <mergeCell ref="A2288:K2288"/>
    <mergeCell ref="I2297:J2297"/>
    <mergeCell ref="I2306:J2306"/>
    <mergeCell ref="I2315:J2315"/>
    <mergeCell ref="A2263:K2263"/>
    <mergeCell ref="I2266:J2266"/>
    <mergeCell ref="I2273:J2273"/>
    <mergeCell ref="I2280:J2280"/>
    <mergeCell ref="A2282:H2282"/>
    <mergeCell ref="I2282:J2282"/>
    <mergeCell ref="I2229:J2229"/>
    <mergeCell ref="I2239:J2239"/>
    <mergeCell ref="I2246:J2246"/>
    <mergeCell ref="I2250:J2250"/>
    <mergeCell ref="I2258:J2258"/>
    <mergeCell ref="A2260:H2260"/>
    <mergeCell ref="I2260:J2260"/>
    <mergeCell ref="A2196:K2196"/>
    <mergeCell ref="A2198:K2198"/>
    <mergeCell ref="I2201:J2201"/>
    <mergeCell ref="I2208:J2208"/>
    <mergeCell ref="I2215:J2215"/>
    <mergeCell ref="I2222:J2222"/>
    <mergeCell ref="A2185:K2185"/>
    <mergeCell ref="I2188:J2188"/>
    <mergeCell ref="A2190:H2190"/>
    <mergeCell ref="I2190:J2190"/>
    <mergeCell ref="A2193:H2193"/>
    <mergeCell ref="I2193:J2193"/>
    <mergeCell ref="A2160:K2160"/>
    <mergeCell ref="A2162:K2162"/>
    <mergeCell ref="I2165:J2165"/>
    <mergeCell ref="I2172:J2172"/>
    <mergeCell ref="I2180:J2180"/>
    <mergeCell ref="A2182:H2182"/>
    <mergeCell ref="I2182:J2182"/>
    <mergeCell ref="I2140:J2140"/>
    <mergeCell ref="I2144:J2144"/>
    <mergeCell ref="I2152:J2152"/>
    <mergeCell ref="A2154:H2154"/>
    <mergeCell ref="I2154:J2154"/>
    <mergeCell ref="A2157:H2157"/>
    <mergeCell ref="I2157:J2157"/>
    <mergeCell ref="I2095:J2095"/>
    <mergeCell ref="I2102:J2102"/>
    <mergeCell ref="I2109:J2109"/>
    <mergeCell ref="I2116:J2116"/>
    <mergeCell ref="I2123:J2123"/>
    <mergeCell ref="I2133:J2133"/>
    <mergeCell ref="A2084:H2084"/>
    <mergeCell ref="I2084:J2084"/>
    <mergeCell ref="A2087:H2087"/>
    <mergeCell ref="I2087:J2087"/>
    <mergeCell ref="A2090:K2090"/>
    <mergeCell ref="A2092:K2092"/>
    <mergeCell ref="I2047:J2047"/>
    <mergeCell ref="I2054:J2054"/>
    <mergeCell ref="I2061:J2061"/>
    <mergeCell ref="I2068:J2068"/>
    <mergeCell ref="I2075:J2075"/>
    <mergeCell ref="I2082:J2082"/>
    <mergeCell ref="I2005:J2005"/>
    <mergeCell ref="I2012:J2012"/>
    <mergeCell ref="I2019:J2019"/>
    <mergeCell ref="I2026:J2026"/>
    <mergeCell ref="I2033:J2033"/>
    <mergeCell ref="I2040:J2040"/>
    <mergeCell ref="I1979:J1979"/>
    <mergeCell ref="A1981:H1981"/>
    <mergeCell ref="I1981:J1981"/>
    <mergeCell ref="A1984:K1984"/>
    <mergeCell ref="I1991:J1991"/>
    <mergeCell ref="I1998:J1998"/>
    <mergeCell ref="A1961:K1961"/>
    <mergeCell ref="I1964:J1964"/>
    <mergeCell ref="A1966:H1966"/>
    <mergeCell ref="I1966:J1966"/>
    <mergeCell ref="A1969:K1969"/>
    <mergeCell ref="I1972:J1972"/>
    <mergeCell ref="A1935:K1935"/>
    <mergeCell ref="I1938:J1938"/>
    <mergeCell ref="I1945:J1945"/>
    <mergeCell ref="I1952:J1952"/>
    <mergeCell ref="I1956:J1956"/>
    <mergeCell ref="A1958:H1958"/>
    <mergeCell ref="I1958:J1958"/>
    <mergeCell ref="A1916:H1916"/>
    <mergeCell ref="I1916:J1916"/>
    <mergeCell ref="A1919:K1919"/>
    <mergeCell ref="I1923:J1923"/>
    <mergeCell ref="I1930:J1930"/>
    <mergeCell ref="A1932:H1932"/>
    <mergeCell ref="I1932:J1932"/>
    <mergeCell ref="I1881:J1881"/>
    <mergeCell ref="I1891:J1891"/>
    <mergeCell ref="I1898:J1898"/>
    <mergeCell ref="I1902:J1902"/>
    <mergeCell ref="I1906:J1906"/>
    <mergeCell ref="I1914:J1914"/>
    <mergeCell ref="I1843:J1843"/>
    <mergeCell ref="I1847:J1847"/>
    <mergeCell ref="I1853:J1853"/>
    <mergeCell ref="I1860:J1860"/>
    <mergeCell ref="I1867:J1867"/>
    <mergeCell ref="I1874:J1874"/>
    <mergeCell ref="I1830:J1830"/>
    <mergeCell ref="A1832:H1832"/>
    <mergeCell ref="I1832:J1832"/>
    <mergeCell ref="A1835:K1835"/>
    <mergeCell ref="A1837:K1837"/>
    <mergeCell ref="I1840:J1840"/>
    <mergeCell ref="A1800:K1800"/>
    <mergeCell ref="I1804:J1804"/>
    <mergeCell ref="A1806:H1806"/>
    <mergeCell ref="I1806:J1806"/>
    <mergeCell ref="A1809:K1809"/>
    <mergeCell ref="I1820:J1820"/>
    <mergeCell ref="A1785:H1785"/>
    <mergeCell ref="I1785:J1785"/>
    <mergeCell ref="A1788:K1788"/>
    <mergeCell ref="I1795:J1795"/>
    <mergeCell ref="A1797:H1797"/>
    <mergeCell ref="I1797:J1797"/>
    <mergeCell ref="A1764:K1764"/>
    <mergeCell ref="I1771:J1771"/>
    <mergeCell ref="A1773:H1773"/>
    <mergeCell ref="I1773:J1773"/>
    <mergeCell ref="A1776:K1776"/>
    <mergeCell ref="I1783:J1783"/>
    <mergeCell ref="I1747:J1747"/>
    <mergeCell ref="A1749:H1749"/>
    <mergeCell ref="I1749:J1749"/>
    <mergeCell ref="A1752:K1752"/>
    <mergeCell ref="I1759:J1759"/>
    <mergeCell ref="A1761:H1761"/>
    <mergeCell ref="I1761:J1761"/>
    <mergeCell ref="I1705:J1705"/>
    <mergeCell ref="I1712:J1712"/>
    <mergeCell ref="I1719:J1719"/>
    <mergeCell ref="I1726:J1726"/>
    <mergeCell ref="I1733:J1733"/>
    <mergeCell ref="I1740:J1740"/>
    <mergeCell ref="I1663:J1663"/>
    <mergeCell ref="I1670:J1670"/>
    <mergeCell ref="I1677:J1677"/>
    <mergeCell ref="I1684:J1684"/>
    <mergeCell ref="I1691:J1691"/>
    <mergeCell ref="I1698:J1698"/>
    <mergeCell ref="I1621:J1621"/>
    <mergeCell ref="I1628:J1628"/>
    <mergeCell ref="I1635:J1635"/>
    <mergeCell ref="I1642:J1642"/>
    <mergeCell ref="I1649:J1649"/>
    <mergeCell ref="I1656:J1656"/>
    <mergeCell ref="I1579:J1579"/>
    <mergeCell ref="I1586:J1586"/>
    <mergeCell ref="I1593:J1593"/>
    <mergeCell ref="I1600:J1600"/>
    <mergeCell ref="I1607:J1607"/>
    <mergeCell ref="I1614:J1614"/>
    <mergeCell ref="I1537:J1537"/>
    <mergeCell ref="I1544:J1544"/>
    <mergeCell ref="I1551:J1551"/>
    <mergeCell ref="I1558:J1558"/>
    <mergeCell ref="I1565:J1565"/>
    <mergeCell ref="I1572:J1572"/>
    <mergeCell ref="I1495:J1495"/>
    <mergeCell ref="I1502:J1502"/>
    <mergeCell ref="I1509:J1509"/>
    <mergeCell ref="I1516:J1516"/>
    <mergeCell ref="I1523:J1523"/>
    <mergeCell ref="I1530:J1530"/>
    <mergeCell ref="I1453:J1453"/>
    <mergeCell ref="I1460:J1460"/>
    <mergeCell ref="I1467:J1467"/>
    <mergeCell ref="I1474:J1474"/>
    <mergeCell ref="I1481:J1481"/>
    <mergeCell ref="I1488:J1488"/>
    <mergeCell ref="I1411:J1411"/>
    <mergeCell ref="I1418:J1418"/>
    <mergeCell ref="I1425:J1425"/>
    <mergeCell ref="I1432:J1432"/>
    <mergeCell ref="I1439:J1439"/>
    <mergeCell ref="I1446:J1446"/>
    <mergeCell ref="I1369:J1369"/>
    <mergeCell ref="I1376:J1376"/>
    <mergeCell ref="I1383:J1383"/>
    <mergeCell ref="I1390:J1390"/>
    <mergeCell ref="I1397:J1397"/>
    <mergeCell ref="I1404:J1404"/>
    <mergeCell ref="I1327:J1327"/>
    <mergeCell ref="I1334:J1334"/>
    <mergeCell ref="I1341:J1341"/>
    <mergeCell ref="I1348:J1348"/>
    <mergeCell ref="I1355:J1355"/>
    <mergeCell ref="I1362:J1362"/>
    <mergeCell ref="I1285:J1285"/>
    <mergeCell ref="I1292:J1292"/>
    <mergeCell ref="I1299:J1299"/>
    <mergeCell ref="I1306:J1306"/>
    <mergeCell ref="I1313:J1313"/>
    <mergeCell ref="I1320:J1320"/>
    <mergeCell ref="I1258:J1258"/>
    <mergeCell ref="I1266:J1266"/>
    <mergeCell ref="A1268:H1268"/>
    <mergeCell ref="I1268:J1268"/>
    <mergeCell ref="A1271:K1271"/>
    <mergeCell ref="I1278:J1278"/>
    <mergeCell ref="I1219:J1219"/>
    <mergeCell ref="I1226:J1226"/>
    <mergeCell ref="I1233:J1233"/>
    <mergeCell ref="I1243:J1243"/>
    <mergeCell ref="I1250:J1250"/>
    <mergeCell ref="I1254:J1254"/>
    <mergeCell ref="A1189:K1189"/>
    <mergeCell ref="I1192:J1192"/>
    <mergeCell ref="I1195:J1195"/>
    <mergeCell ref="I1199:J1199"/>
    <mergeCell ref="I1205:J1205"/>
    <mergeCell ref="I1212:J1212"/>
    <mergeCell ref="A1178:H1178"/>
    <mergeCell ref="I1178:J1178"/>
    <mergeCell ref="A1181:K1181"/>
    <mergeCell ref="I1184:J1184"/>
    <mergeCell ref="A1186:H1186"/>
    <mergeCell ref="I1186:J1186"/>
    <mergeCell ref="A1164:K1164"/>
    <mergeCell ref="I1167:J1167"/>
    <mergeCell ref="A1169:H1169"/>
    <mergeCell ref="I1169:J1169"/>
    <mergeCell ref="A1172:K1172"/>
    <mergeCell ref="I1176:J1176"/>
    <mergeCell ref="A1153:H1153"/>
    <mergeCell ref="I1153:J1153"/>
    <mergeCell ref="A1156:K1156"/>
    <mergeCell ref="I1159:J1159"/>
    <mergeCell ref="A1161:H1161"/>
    <mergeCell ref="I1161:J1161"/>
    <mergeCell ref="A1142:H1142"/>
    <mergeCell ref="I1142:J1142"/>
    <mergeCell ref="A1145:K1145"/>
    <mergeCell ref="I1148:J1148"/>
    <mergeCell ref="A1150:H1150"/>
    <mergeCell ref="I1150:J1150"/>
    <mergeCell ref="I1107:J1107"/>
    <mergeCell ref="I1117:J1117"/>
    <mergeCell ref="I1124:J1124"/>
    <mergeCell ref="I1128:J1128"/>
    <mergeCell ref="I1132:J1132"/>
    <mergeCell ref="I1140:J1140"/>
    <mergeCell ref="I1069:J1069"/>
    <mergeCell ref="I1073:J1073"/>
    <mergeCell ref="I1079:J1079"/>
    <mergeCell ref="I1086:J1086"/>
    <mergeCell ref="I1093:J1093"/>
    <mergeCell ref="I1100:J1100"/>
    <mergeCell ref="I1056:J1056"/>
    <mergeCell ref="A1058:H1058"/>
    <mergeCell ref="I1058:J1058"/>
    <mergeCell ref="A1061:K1061"/>
    <mergeCell ref="A1063:K1063"/>
    <mergeCell ref="I1066:J1066"/>
    <mergeCell ref="I1032:J1032"/>
    <mergeCell ref="I1040:J1040"/>
    <mergeCell ref="A1042:H1042"/>
    <mergeCell ref="I1042:J1042"/>
    <mergeCell ref="A1045:K1045"/>
    <mergeCell ref="I1052:J1052"/>
    <mergeCell ref="I1013:J1013"/>
    <mergeCell ref="A1015:H1015"/>
    <mergeCell ref="I1015:J1015"/>
    <mergeCell ref="A1018:K1018"/>
    <mergeCell ref="I1021:J1021"/>
    <mergeCell ref="I1028:J1028"/>
    <mergeCell ref="A991:K991"/>
    <mergeCell ref="I997:J997"/>
    <mergeCell ref="A999:H999"/>
    <mergeCell ref="I999:J999"/>
    <mergeCell ref="A1002:K1002"/>
    <mergeCell ref="I1006:J1006"/>
    <mergeCell ref="I964:J964"/>
    <mergeCell ref="I971:J971"/>
    <mergeCell ref="I978:J978"/>
    <mergeCell ref="I986:J986"/>
    <mergeCell ref="A988:H988"/>
    <mergeCell ref="I988:J988"/>
    <mergeCell ref="A945:K945"/>
    <mergeCell ref="I949:J949"/>
    <mergeCell ref="I956:J956"/>
    <mergeCell ref="A958:H958"/>
    <mergeCell ref="I958:J958"/>
    <mergeCell ref="A961:K961"/>
    <mergeCell ref="I921:J921"/>
    <mergeCell ref="I928:J928"/>
    <mergeCell ref="I932:J932"/>
    <mergeCell ref="I940:J940"/>
    <mergeCell ref="A942:H942"/>
    <mergeCell ref="I942:J942"/>
    <mergeCell ref="I898:J898"/>
    <mergeCell ref="I906:J906"/>
    <mergeCell ref="A908:H908"/>
    <mergeCell ref="I908:J908"/>
    <mergeCell ref="A911:K911"/>
    <mergeCell ref="I914:J914"/>
    <mergeCell ref="I874:J874"/>
    <mergeCell ref="I882:J882"/>
    <mergeCell ref="A884:H884"/>
    <mergeCell ref="I884:J884"/>
    <mergeCell ref="A887:K887"/>
    <mergeCell ref="I891:J891"/>
    <mergeCell ref="I855:J855"/>
    <mergeCell ref="A857:H857"/>
    <mergeCell ref="I857:J857"/>
    <mergeCell ref="A860:K860"/>
    <mergeCell ref="I863:J863"/>
    <mergeCell ref="I870:J870"/>
    <mergeCell ref="I815:J815"/>
    <mergeCell ref="I822:J822"/>
    <mergeCell ref="I829:J829"/>
    <mergeCell ref="I836:J836"/>
    <mergeCell ref="I843:J843"/>
    <mergeCell ref="I847:J847"/>
    <mergeCell ref="I792:J792"/>
    <mergeCell ref="I800:J800"/>
    <mergeCell ref="A802:H802"/>
    <mergeCell ref="I802:J802"/>
    <mergeCell ref="A805:K805"/>
    <mergeCell ref="I808:J808"/>
    <mergeCell ref="A768:H768"/>
    <mergeCell ref="I768:J768"/>
    <mergeCell ref="A771:K771"/>
    <mergeCell ref="I774:J774"/>
    <mergeCell ref="I781:J781"/>
    <mergeCell ref="I788:J788"/>
    <mergeCell ref="A752:H752"/>
    <mergeCell ref="I752:J752"/>
    <mergeCell ref="A755:K755"/>
    <mergeCell ref="I763:J763"/>
    <mergeCell ref="A765:H765"/>
    <mergeCell ref="I765:J765"/>
    <mergeCell ref="I738:J738"/>
    <mergeCell ref="I742:J742"/>
    <mergeCell ref="A744:H744"/>
    <mergeCell ref="I744:J744"/>
    <mergeCell ref="A747:K747"/>
    <mergeCell ref="I750:J750"/>
    <mergeCell ref="I716:J716"/>
    <mergeCell ref="A718:H718"/>
    <mergeCell ref="I718:J718"/>
    <mergeCell ref="A721:K721"/>
    <mergeCell ref="I724:J724"/>
    <mergeCell ref="I731:J731"/>
    <mergeCell ref="A687:K687"/>
    <mergeCell ref="A689:K689"/>
    <mergeCell ref="I692:J692"/>
    <mergeCell ref="I698:J698"/>
    <mergeCell ref="I705:J705"/>
    <mergeCell ref="I712:J712"/>
    <mergeCell ref="I663:J663"/>
    <mergeCell ref="I670:J670"/>
    <mergeCell ref="I674:J674"/>
    <mergeCell ref="I682:J682"/>
    <mergeCell ref="A684:H684"/>
    <mergeCell ref="I684:J684"/>
    <mergeCell ref="A622:K622"/>
    <mergeCell ref="I625:J625"/>
    <mergeCell ref="I632:J632"/>
    <mergeCell ref="I639:J639"/>
    <mergeCell ref="I646:J646"/>
    <mergeCell ref="I653:J653"/>
    <mergeCell ref="I598:J598"/>
    <mergeCell ref="I605:J605"/>
    <mergeCell ref="I609:J609"/>
    <mergeCell ref="I617:J617"/>
    <mergeCell ref="A619:H619"/>
    <mergeCell ref="I619:J619"/>
    <mergeCell ref="A557:K557"/>
    <mergeCell ref="I560:J560"/>
    <mergeCell ref="I567:J567"/>
    <mergeCell ref="I574:J574"/>
    <mergeCell ref="I581:J581"/>
    <mergeCell ref="I588:J588"/>
    <mergeCell ref="I533:J533"/>
    <mergeCell ref="I540:J540"/>
    <mergeCell ref="I544:J544"/>
    <mergeCell ref="I552:J552"/>
    <mergeCell ref="A554:H554"/>
    <mergeCell ref="I554:J554"/>
    <mergeCell ref="A492:K492"/>
    <mergeCell ref="I495:J495"/>
    <mergeCell ref="I502:J502"/>
    <mergeCell ref="I509:J509"/>
    <mergeCell ref="I516:J516"/>
    <mergeCell ref="I523:J523"/>
    <mergeCell ref="I468:J468"/>
    <mergeCell ref="I475:J475"/>
    <mergeCell ref="I479:J479"/>
    <mergeCell ref="I487:J487"/>
    <mergeCell ref="A489:H489"/>
    <mergeCell ref="I489:J489"/>
    <mergeCell ref="A427:K427"/>
    <mergeCell ref="I430:J430"/>
    <mergeCell ref="I437:J437"/>
    <mergeCell ref="I444:J444"/>
    <mergeCell ref="I451:J451"/>
    <mergeCell ref="I458:J458"/>
    <mergeCell ref="I403:J403"/>
    <mergeCell ref="I410:J410"/>
    <mergeCell ref="I414:J414"/>
    <mergeCell ref="I422:J422"/>
    <mergeCell ref="A424:H424"/>
    <mergeCell ref="I424:J424"/>
    <mergeCell ref="A362:K362"/>
    <mergeCell ref="I365:J365"/>
    <mergeCell ref="I372:J372"/>
    <mergeCell ref="I379:J379"/>
    <mergeCell ref="I386:J386"/>
    <mergeCell ref="I393:J393"/>
    <mergeCell ref="I341:J341"/>
    <mergeCell ref="I345:J345"/>
    <mergeCell ref="I349:J349"/>
    <mergeCell ref="I357:J357"/>
    <mergeCell ref="A359:H359"/>
    <mergeCell ref="I359:J359"/>
    <mergeCell ref="I296:J296"/>
    <mergeCell ref="I303:J303"/>
    <mergeCell ref="I310:J310"/>
    <mergeCell ref="I317:J317"/>
    <mergeCell ref="I324:J324"/>
    <mergeCell ref="I334:J334"/>
    <mergeCell ref="A277:H277"/>
    <mergeCell ref="I277:J277"/>
    <mergeCell ref="A280:K280"/>
    <mergeCell ref="I283:J283"/>
    <mergeCell ref="I286:J286"/>
    <mergeCell ref="I290:J290"/>
    <mergeCell ref="I242:J242"/>
    <mergeCell ref="I252:J252"/>
    <mergeCell ref="I259:J259"/>
    <mergeCell ref="I263:J263"/>
    <mergeCell ref="I267:J267"/>
    <mergeCell ref="I275:J275"/>
    <mergeCell ref="I204:J204"/>
    <mergeCell ref="I208:J208"/>
    <mergeCell ref="I214:J214"/>
    <mergeCell ref="I221:J221"/>
    <mergeCell ref="I228:J228"/>
    <mergeCell ref="I235:J235"/>
    <mergeCell ref="I185:J185"/>
    <mergeCell ref="I193:J193"/>
    <mergeCell ref="A195:H195"/>
    <mergeCell ref="I195:J195"/>
    <mergeCell ref="A198:K198"/>
    <mergeCell ref="I201:J201"/>
    <mergeCell ref="I146:J146"/>
    <mergeCell ref="I153:J153"/>
    <mergeCell ref="I160:J160"/>
    <mergeCell ref="I170:J170"/>
    <mergeCell ref="I177:J177"/>
    <mergeCell ref="I181:J181"/>
    <mergeCell ref="A116:K116"/>
    <mergeCell ref="I119:J119"/>
    <mergeCell ref="I122:J122"/>
    <mergeCell ref="I126:J126"/>
    <mergeCell ref="I132:J132"/>
    <mergeCell ref="I139:J139"/>
    <mergeCell ref="I88:J88"/>
    <mergeCell ref="I95:J95"/>
    <mergeCell ref="I99:J99"/>
    <mergeCell ref="I103:J103"/>
    <mergeCell ref="I111:J111"/>
    <mergeCell ref="A113:H113"/>
    <mergeCell ref="I113:J113"/>
    <mergeCell ref="I44:J44"/>
    <mergeCell ref="I50:J50"/>
    <mergeCell ref="I57:J57"/>
    <mergeCell ref="I64:J64"/>
    <mergeCell ref="I71:J71"/>
    <mergeCell ref="I78:J78"/>
    <mergeCell ref="I27:I29"/>
    <mergeCell ref="J27:J29"/>
    <mergeCell ref="A32:K32"/>
    <mergeCell ref="A34:K34"/>
    <mergeCell ref="I37:J37"/>
    <mergeCell ref="I40:J40"/>
    <mergeCell ref="F25:H25"/>
    <mergeCell ref="I25:J25"/>
    <mergeCell ref="A27:A29"/>
    <mergeCell ref="B27:B29"/>
    <mergeCell ref="C27:C29"/>
    <mergeCell ref="D27:D29"/>
    <mergeCell ref="E27:E29"/>
    <mergeCell ref="F27:F29"/>
    <mergeCell ref="G27:G29"/>
    <mergeCell ref="H27:H29"/>
    <mergeCell ref="F22:H22"/>
    <mergeCell ref="I22:J22"/>
    <mergeCell ref="F23:H23"/>
    <mergeCell ref="I23:J23"/>
    <mergeCell ref="F24:H24"/>
    <mergeCell ref="I24:J24"/>
    <mergeCell ref="A16:K16"/>
    <mergeCell ref="A18:K18"/>
    <mergeCell ref="F20:H20"/>
    <mergeCell ref="I20:J20"/>
    <mergeCell ref="F21:H21"/>
    <mergeCell ref="I21:J21"/>
    <mergeCell ref="B7:E7"/>
    <mergeCell ref="G7:K7"/>
    <mergeCell ref="A10:K10"/>
    <mergeCell ref="A11:K11"/>
    <mergeCell ref="A13:K13"/>
    <mergeCell ref="A15:K15"/>
    <mergeCell ref="J2:K2"/>
    <mergeCell ref="B3:E3"/>
    <mergeCell ref="G3:K3"/>
    <mergeCell ref="B4:E4"/>
    <mergeCell ref="G4:K4"/>
    <mergeCell ref="B6:E6"/>
    <mergeCell ref="G6:K6"/>
  </mergeCells>
  <pageMargins left="0.4" right="0.2" top="0.2" bottom="0.4" header="0.2" footer="0.2"/>
  <pageSetup paperSize="9" scale="53" fitToHeight="0" orientation="landscape" r:id="rId1"/>
  <headerFooter>
    <oddHeader>&amp;L&amp;8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 СН-2012 по гл. 1-5</vt:lpstr>
      <vt:lpstr>'Смета СН-2012 по гл. 1-5'!Заголовки_для_печати</vt:lpstr>
      <vt:lpstr>'Смета СН-2012 по гл. 1-5'!Область_печати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Миронова Оксана Валерьевна</dc:creator>
  <cp:lastModifiedBy>Миронова Оксана Валерьевна</cp:lastModifiedBy>
  <dcterms:created xsi:type="dcterms:W3CDTF">2025-05-15T12:06:21Z</dcterms:created>
  <dcterms:modified xsi:type="dcterms:W3CDTF">2025-05-15T12:19:30Z</dcterms:modified>
</cp:coreProperties>
</file>